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theme/themeOverride3.xml" ContentType="application/vnd.openxmlformats-officedocument.themeOverride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theme/themeOverride5.xml" ContentType="application/vnd.openxmlformats-officedocument.themeOverride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theme/themeOverride6.xml" ContentType="application/vnd.openxmlformats-officedocument.themeOverride+xml"/>
  <Override PartName="/xl/drawings/drawing9.xml" ContentType="application/vnd.openxmlformats-officedocument.drawing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workbookProtection workbookPassword="CD3C" lockStructure="1"/>
  <bookViews>
    <workbookView xWindow="0" yWindow="0" windowWidth="23040" windowHeight="9108" firstSheet="1" activeTab="2" xr2:uid="{00000000-000D-0000-FFFF-FFFF00000000}"/>
  </bookViews>
  <sheets>
    <sheet name="Förutsättningar" sheetId="15" r:id="rId1"/>
    <sheet name="NFS 2011-7" sheetId="13" r:id="rId2"/>
    <sheet name="Skötselplan" sheetId="1" r:id="rId3"/>
    <sheet name="Utdata" sheetId="17" state="hidden" r:id="rId4"/>
    <sheet name="Beräkning avskjutning" sheetId="24" state="hidden" r:id="rId5"/>
    <sheet name="SourceData" sheetId="25" state="hidden" r:id="rId6"/>
    <sheet name="2.1.1 Avskjutning" sheetId="10" r:id="rId7"/>
    <sheet name="2.1.2 Älgobs" sheetId="11" r:id="rId8"/>
    <sheet name="2.1.3 Spillningsinventering" sheetId="18" r:id="rId9"/>
    <sheet name="2.1.4 Kalvvikter" sheetId="14" r:id="rId10"/>
    <sheet name="2.2.1 Äbin" sheetId="12" r:id="rId11"/>
    <sheet name="Sammanst spillinv ÄFO" sheetId="22" state="hidden" r:id="rId12"/>
    <sheet name="Faktorer" sheetId="16" state="hidden" r:id="rId13"/>
  </sheets>
  <externalReferences>
    <externalReference r:id="rId14"/>
  </externalReferences>
  <definedNames>
    <definedName name="_xlnm._FilterDatabase" localSheetId="12" hidden="1">Faktorer!$H$19:$H$168</definedName>
    <definedName name="Inventeringsobjekt" localSheetId="11">[1]Faktorer!$C$3:$C$7</definedName>
    <definedName name="Inventeringsobjekt">Faktorer!$C$3:$C$7</definedName>
    <definedName name="Sammanst_spillinv_ny">[1]Faktorer!$C$3:$C$7</definedName>
    <definedName name="Skogstillstånd" localSheetId="11">[1]Faktorer!$D$3:$D$8</definedName>
    <definedName name="Skogstillstånd">Faktorer!$D$3:$D$8</definedName>
    <definedName name="_xlnm.Print_Area" localSheetId="4">'Beräkning avskjutning'!$A$1:$K$196</definedName>
    <definedName name="_xlnm.Print_Area" localSheetId="2">Skötselplan!$A$1:$H$387</definedName>
    <definedName name="Välj">Faktorer!$C$5:$C$7</definedName>
  </definedNames>
  <calcPr calcId="171027"/>
</workbook>
</file>

<file path=xl/calcChain.xml><?xml version="1.0" encoding="utf-8"?>
<calcChain xmlns="http://schemas.openxmlformats.org/spreadsheetml/2006/main">
  <c r="B115" i="1" l="1"/>
  <c r="BC2" i="17" s="1"/>
  <c r="C115" i="1"/>
  <c r="D115" i="1"/>
  <c r="E115" i="1"/>
  <c r="D116" i="1"/>
  <c r="D30" i="24" s="1"/>
  <c r="E116" i="1"/>
  <c r="D117" i="1"/>
  <c r="E117" i="1"/>
  <c r="D118" i="1"/>
  <c r="D32" i="24" s="1"/>
  <c r="E118" i="1"/>
  <c r="D143" i="1"/>
  <c r="E143" i="1"/>
  <c r="B144" i="1"/>
  <c r="CN2" i="17" s="1"/>
  <c r="C144" i="1"/>
  <c r="D144" i="1"/>
  <c r="E144" i="1"/>
  <c r="CQ2" i="17" s="1"/>
  <c r="B145" i="1"/>
  <c r="CS2" i="17" s="1"/>
  <c r="C145" i="1"/>
  <c r="D145" i="1"/>
  <c r="E145" i="1"/>
  <c r="CV2" i="17" s="1"/>
  <c r="C153" i="1"/>
  <c r="D153" i="1"/>
  <c r="E153" i="1"/>
  <c r="C154" i="1"/>
  <c r="D154" i="1"/>
  <c r="E154" i="1"/>
  <c r="B161" i="1"/>
  <c r="C161" i="1"/>
  <c r="D161" i="1"/>
  <c r="CZ2" i="17" s="1"/>
  <c r="E161" i="1"/>
  <c r="B162" i="1"/>
  <c r="C162" i="1"/>
  <c r="B170" i="1"/>
  <c r="DH2" i="17" s="1"/>
  <c r="C170" i="1"/>
  <c r="DI2" i="17" s="1"/>
  <c r="D170" i="1"/>
  <c r="E170" i="1"/>
  <c r="F170" i="1"/>
  <c r="DL2" i="17" s="1"/>
  <c r="D195" i="1"/>
  <c r="E195" i="1"/>
  <c r="D196" i="1"/>
  <c r="E196" i="1"/>
  <c r="D197" i="1"/>
  <c r="E197" i="1"/>
  <c r="B198" i="1"/>
  <c r="B260" i="1"/>
  <c r="B20" i="24" s="1"/>
  <c r="C260" i="1"/>
  <c r="C20" i="24" s="1"/>
  <c r="D260" i="1"/>
  <c r="B269" i="1"/>
  <c r="C269" i="1"/>
  <c r="D269" i="1"/>
  <c r="D304" i="1" s="1"/>
  <c r="D274" i="1"/>
  <c r="E274" i="1"/>
  <c r="F274" i="1"/>
  <c r="G274" i="1"/>
  <c r="D275" i="1"/>
  <c r="E275" i="1"/>
  <c r="F275" i="1"/>
  <c r="G275" i="1"/>
  <c r="D276" i="1"/>
  <c r="E276" i="1"/>
  <c r="F276" i="1"/>
  <c r="G276" i="1"/>
  <c r="D277" i="1"/>
  <c r="E277" i="1"/>
  <c r="F277" i="1"/>
  <c r="G277" i="1"/>
  <c r="D278" i="1"/>
  <c r="E278" i="1"/>
  <c r="F278" i="1"/>
  <c r="G278" i="1"/>
  <c r="D279" i="1"/>
  <c r="E279" i="1"/>
  <c r="F279" i="1"/>
  <c r="G279" i="1"/>
  <c r="B282" i="1"/>
  <c r="F282" i="1"/>
  <c r="F284" i="1" s="1"/>
  <c r="G282" i="1"/>
  <c r="D294" i="1"/>
  <c r="C296" i="1"/>
  <c r="C297" i="1"/>
  <c r="C298" i="1"/>
  <c r="C299" i="1"/>
  <c r="D299" i="1"/>
  <c r="C300" i="1"/>
  <c r="D300" i="1"/>
  <c r="A301" i="1"/>
  <c r="D301" i="1"/>
  <c r="D303" i="1"/>
  <c r="B316" i="1"/>
  <c r="B320" i="1" s="1"/>
  <c r="C316" i="1"/>
  <c r="C318" i="1" s="1"/>
  <c r="D316" i="1"/>
  <c r="D320" i="1" s="1"/>
  <c r="B317" i="1"/>
  <c r="C317" i="1"/>
  <c r="D317" i="1"/>
  <c r="B318" i="1"/>
  <c r="D318" i="1"/>
  <c r="C320" i="1"/>
  <c r="Y2" i="17"/>
  <c r="Z2" i="17"/>
  <c r="AC2" i="17"/>
  <c r="AD2" i="17"/>
  <c r="AE2" i="17"/>
  <c r="AG2" i="17"/>
  <c r="AH2" i="17"/>
  <c r="AL2" i="17"/>
  <c r="AM2" i="17"/>
  <c r="AN2" i="17"/>
  <c r="AO2" i="17"/>
  <c r="AP2" i="17"/>
  <c r="AQ2" i="17"/>
  <c r="AR2" i="17"/>
  <c r="AS2" i="17"/>
  <c r="AT2" i="17"/>
  <c r="AU2" i="17"/>
  <c r="AV2" i="17"/>
  <c r="AW2" i="17"/>
  <c r="AX2" i="17"/>
  <c r="BB2" i="17"/>
  <c r="BD2" i="17"/>
  <c r="BI2" i="17"/>
  <c r="BK2" i="17"/>
  <c r="BL2" i="17"/>
  <c r="BM2" i="17"/>
  <c r="BN2" i="17"/>
  <c r="BO2" i="17"/>
  <c r="BP2" i="17"/>
  <c r="BQ2" i="17"/>
  <c r="BR2" i="17"/>
  <c r="BS2" i="17"/>
  <c r="BT2" i="17"/>
  <c r="BU2" i="17"/>
  <c r="BV2" i="17"/>
  <c r="BW2" i="17"/>
  <c r="BX2" i="17"/>
  <c r="BY2" i="17"/>
  <c r="BZ2" i="17"/>
  <c r="CA2" i="17"/>
  <c r="CB2" i="17"/>
  <c r="CC2" i="17"/>
  <c r="CD2" i="17"/>
  <c r="CE2" i="17"/>
  <c r="CF2" i="17"/>
  <c r="CG2" i="17"/>
  <c r="CH2" i="17"/>
  <c r="CK2" i="17"/>
  <c r="CL2" i="17"/>
  <c r="CO2" i="17"/>
  <c r="CP2" i="17"/>
  <c r="CT2" i="17"/>
  <c r="CU2" i="17"/>
  <c r="CX2" i="17"/>
  <c r="CY2" i="17"/>
  <c r="DA2" i="17"/>
  <c r="DC2" i="17"/>
  <c r="DD2" i="17"/>
  <c r="DJ2" i="17"/>
  <c r="DK2" i="17"/>
  <c r="DM2" i="17"/>
  <c r="DN2" i="17"/>
  <c r="DO2" i="17"/>
  <c r="DP2" i="17"/>
  <c r="DQ2" i="17"/>
  <c r="DR2" i="17"/>
  <c r="DS2" i="17"/>
  <c r="DT2" i="17"/>
  <c r="DU2" i="17"/>
  <c r="DV2" i="17"/>
  <c r="DW2" i="17"/>
  <c r="DX2" i="17"/>
  <c r="DY2" i="17"/>
  <c r="DZ2" i="17"/>
  <c r="EA2" i="17"/>
  <c r="EE2" i="17"/>
  <c r="EF2" i="17"/>
  <c r="EG2" i="17"/>
  <c r="EH2" i="17"/>
  <c r="EI2" i="17"/>
  <c r="EZ2" i="17"/>
  <c r="FB2" i="17"/>
  <c r="FC2" i="17"/>
  <c r="FD2" i="17"/>
  <c r="FE2" i="17"/>
  <c r="FF2" i="17"/>
  <c r="FG2" i="17"/>
  <c r="FH2" i="17"/>
  <c r="FI2" i="17"/>
  <c r="FJ2" i="17"/>
  <c r="FK2" i="17"/>
  <c r="FL2" i="17"/>
  <c r="FM2" i="17"/>
  <c r="FN2" i="17"/>
  <c r="FR2" i="17"/>
  <c r="FS2" i="17"/>
  <c r="FT2" i="17"/>
  <c r="FU2" i="17"/>
  <c r="FV2" i="17"/>
  <c r="FW2" i="17"/>
  <c r="FX2" i="17"/>
  <c r="FY2" i="17"/>
  <c r="FZ2" i="17"/>
  <c r="GA2" i="17"/>
  <c r="GB2" i="17"/>
  <c r="GC2" i="17"/>
  <c r="GD2" i="17"/>
  <c r="GE2" i="17"/>
  <c r="GF2" i="17"/>
  <c r="GG2" i="17"/>
  <c r="GH2" i="17"/>
  <c r="GI2" i="17"/>
  <c r="GJ2" i="17"/>
  <c r="GK2" i="17"/>
  <c r="GP2" i="17"/>
  <c r="GQ2" i="17"/>
  <c r="GR2" i="17"/>
  <c r="GS2" i="17"/>
  <c r="GV2" i="17"/>
  <c r="GW2" i="17"/>
  <c r="GX2" i="17"/>
  <c r="GY2" i="17"/>
  <c r="GZ2" i="17"/>
  <c r="HA2" i="17"/>
  <c r="HB2" i="17"/>
  <c r="HC2" i="17"/>
  <c r="HD2" i="17"/>
  <c r="HE2" i="17"/>
  <c r="HF2" i="17"/>
  <c r="HG2" i="17"/>
  <c r="HH2" i="17"/>
  <c r="HI2" i="17"/>
  <c r="HJ2" i="17"/>
  <c r="HK2" i="17"/>
  <c r="HL2" i="17"/>
  <c r="HM2" i="17"/>
  <c r="HN2" i="17"/>
  <c r="HO2" i="17"/>
  <c r="HP2" i="17"/>
  <c r="HQ2" i="17"/>
  <c r="HR2" i="17"/>
  <c r="HS2" i="17"/>
  <c r="HT2" i="17"/>
  <c r="HU2" i="17"/>
  <c r="HV2" i="17"/>
  <c r="HW2" i="17"/>
  <c r="HX2" i="17"/>
  <c r="HY2" i="17"/>
  <c r="HZ2" i="17"/>
  <c r="IA2" i="17"/>
  <c r="IB2" i="17"/>
  <c r="IC2" i="17"/>
  <c r="ID2" i="17"/>
  <c r="IE2" i="17"/>
  <c r="IF2" i="17"/>
  <c r="IG2" i="17"/>
  <c r="IH2" i="17"/>
  <c r="II2" i="17"/>
  <c r="IJ2" i="17"/>
  <c r="IK2" i="17"/>
  <c r="IL2" i="17"/>
  <c r="IM2" i="17"/>
  <c r="IN2" i="17"/>
  <c r="IO2" i="17"/>
  <c r="IP2" i="17"/>
  <c r="IQ2" i="17"/>
  <c r="IR2" i="17"/>
  <c r="IS2" i="17"/>
  <c r="IT2" i="17"/>
  <c r="IU2" i="17"/>
  <c r="IV2" i="17"/>
  <c r="IW2" i="17"/>
  <c r="IX2" i="17"/>
  <c r="IY2" i="17"/>
  <c r="IZ2" i="17"/>
  <c r="JA2" i="17"/>
  <c r="JB2" i="17"/>
  <c r="JC2" i="17"/>
  <c r="JD2" i="17"/>
  <c r="JE2" i="17"/>
  <c r="JF2" i="17"/>
  <c r="JG2" i="17"/>
  <c r="JH2" i="17"/>
  <c r="JI2" i="17"/>
  <c r="JJ2" i="17"/>
  <c r="JK2" i="17"/>
  <c r="JL2" i="17"/>
  <c r="JM2" i="17"/>
  <c r="JN2" i="17"/>
  <c r="JO2" i="17"/>
  <c r="KS2" i="17"/>
  <c r="KT2" i="17"/>
  <c r="KU2" i="17"/>
  <c r="KV2" i="17"/>
  <c r="KW2" i="17"/>
  <c r="KX2" i="17"/>
  <c r="KY2" i="17"/>
  <c r="KZ2" i="17"/>
  <c r="LA2" i="17"/>
  <c r="LB2" i="17"/>
  <c r="LC2" i="17"/>
  <c r="LD2" i="17"/>
  <c r="LI2" i="17"/>
  <c r="LJ2" i="17"/>
  <c r="LK2" i="17"/>
  <c r="LL2" i="17"/>
  <c r="LM2" i="17"/>
  <c r="LN2" i="17"/>
  <c r="LO2" i="17"/>
  <c r="LP2" i="17"/>
  <c r="LQ2" i="17"/>
  <c r="LR2" i="17"/>
  <c r="LS2" i="17"/>
  <c r="LT2" i="17"/>
  <c r="LU2" i="17"/>
  <c r="LV2" i="17"/>
  <c r="LW2" i="17"/>
  <c r="LX2" i="17"/>
  <c r="LY2" i="17"/>
  <c r="LZ2" i="17"/>
  <c r="MA2" i="17"/>
  <c r="MB2" i="17"/>
  <c r="MC2" i="17"/>
  <c r="MD2" i="17"/>
  <c r="ME2" i="17"/>
  <c r="MH2" i="17"/>
  <c r="MI2" i="17"/>
  <c r="MJ2" i="17"/>
  <c r="MK2" i="17"/>
  <c r="ML2" i="17"/>
  <c r="MM2" i="17"/>
  <c r="MN2" i="17"/>
  <c r="MO2" i="17"/>
  <c r="MP2" i="17"/>
  <c r="M6" i="24"/>
  <c r="M21" i="24"/>
  <c r="M22" i="24"/>
  <c r="M29" i="24"/>
  <c r="M36" i="24"/>
  <c r="M76" i="24"/>
  <c r="M134" i="24"/>
  <c r="M145" i="24"/>
  <c r="E163" i="24"/>
  <c r="M163" i="24"/>
  <c r="E164" i="24"/>
  <c r="M164" i="24"/>
  <c r="E165" i="24"/>
  <c r="E166" i="24"/>
  <c r="C176" i="24"/>
  <c r="D176" i="24"/>
  <c r="E176" i="24"/>
  <c r="M176" i="24"/>
  <c r="C183" i="24"/>
  <c r="D183" i="24"/>
  <c r="E183" i="24"/>
  <c r="M183" i="24"/>
  <c r="C190" i="24"/>
  <c r="D190" i="24"/>
  <c r="E190" i="24"/>
  <c r="M190" i="24"/>
  <c r="B207" i="24"/>
  <c r="C207" i="24"/>
  <c r="D207" i="24"/>
  <c r="M207" i="24"/>
  <c r="K3" i="22"/>
  <c r="L3" i="22"/>
  <c r="M3" i="22"/>
  <c r="P3" i="22" s="1"/>
  <c r="N3" i="22"/>
  <c r="O3" i="22"/>
  <c r="Q3" i="22"/>
  <c r="R3" i="22"/>
  <c r="S3" i="22"/>
  <c r="K4" i="22"/>
  <c r="L4" i="22"/>
  <c r="M4" i="22"/>
  <c r="N4" i="22"/>
  <c r="O4" i="22"/>
  <c r="P4" i="22"/>
  <c r="R4" i="22"/>
  <c r="S4" i="22"/>
  <c r="K5" i="22"/>
  <c r="L5" i="22"/>
  <c r="M5" i="22"/>
  <c r="N5" i="22"/>
  <c r="Q5" i="22" s="1"/>
  <c r="O5" i="22"/>
  <c r="P5" i="22" s="1"/>
  <c r="R5" i="22"/>
  <c r="S5" i="22"/>
  <c r="K6" i="22"/>
  <c r="L6" i="22"/>
  <c r="M6" i="22"/>
  <c r="P6" i="22" s="1"/>
  <c r="N6" i="22"/>
  <c r="Q6" i="22" s="1"/>
  <c r="O6" i="22"/>
  <c r="R6" i="22"/>
  <c r="S6" i="22"/>
  <c r="K7" i="22"/>
  <c r="L7" i="22"/>
  <c r="M7" i="22"/>
  <c r="P7" i="22" s="1"/>
  <c r="N7" i="22"/>
  <c r="O7" i="22"/>
  <c r="Q7" i="22"/>
  <c r="R7" i="22"/>
  <c r="S7" i="22"/>
  <c r="K8" i="22"/>
  <c r="L8" i="22"/>
  <c r="M8" i="22"/>
  <c r="N8" i="22"/>
  <c r="Q8" i="22" s="1"/>
  <c r="O8" i="22"/>
  <c r="P8" i="22"/>
  <c r="R8" i="22"/>
  <c r="S8" i="22"/>
  <c r="K9" i="22"/>
  <c r="L9" i="22"/>
  <c r="M9" i="22"/>
  <c r="P9" i="22" s="1"/>
  <c r="N9" i="22"/>
  <c r="Q9" i="22" s="1"/>
  <c r="O9" i="22"/>
  <c r="R9" i="22"/>
  <c r="S9" i="22"/>
  <c r="K10" i="22"/>
  <c r="L10" i="22"/>
  <c r="M10" i="22"/>
  <c r="P10" i="22" s="1"/>
  <c r="N10" i="22"/>
  <c r="Q10" i="22" s="1"/>
  <c r="O10" i="22"/>
  <c r="R10" i="22"/>
  <c r="S10" i="22"/>
  <c r="K11" i="22"/>
  <c r="L11" i="22"/>
  <c r="M11" i="22"/>
  <c r="P11" i="22" s="1"/>
  <c r="N11" i="22"/>
  <c r="O11" i="22"/>
  <c r="Q11" i="22"/>
  <c r="R11" i="22"/>
  <c r="S11" i="22"/>
  <c r="K12" i="22"/>
  <c r="L12" i="22"/>
  <c r="M12" i="22"/>
  <c r="N12" i="22"/>
  <c r="Q12" i="22" s="1"/>
  <c r="O12" i="22"/>
  <c r="P12" i="22"/>
  <c r="R12" i="22"/>
  <c r="S12" i="22"/>
  <c r="F13" i="22"/>
  <c r="G13" i="22"/>
  <c r="L13" i="22"/>
  <c r="K27" i="22"/>
  <c r="L27" i="22"/>
  <c r="M27" i="22"/>
  <c r="P27" i="22" s="1"/>
  <c r="N27" i="22"/>
  <c r="O27" i="22"/>
  <c r="Q27" i="22"/>
  <c r="R27" i="22"/>
  <c r="S27" i="22"/>
  <c r="K28" i="22"/>
  <c r="L28" i="22"/>
  <c r="L37" i="22" s="1"/>
  <c r="M28" i="22"/>
  <c r="N28" i="22"/>
  <c r="O28" i="22"/>
  <c r="P28" i="22"/>
  <c r="Q28" i="22"/>
  <c r="R28" i="22"/>
  <c r="S28" i="22"/>
  <c r="K29" i="22"/>
  <c r="K37" i="22" s="1"/>
  <c r="L29" i="22"/>
  <c r="M29" i="22"/>
  <c r="N29" i="22"/>
  <c r="O29" i="22"/>
  <c r="P29" i="22" s="1"/>
  <c r="R29" i="22"/>
  <c r="S29" i="22"/>
  <c r="K30" i="22"/>
  <c r="L30" i="22"/>
  <c r="M30" i="22"/>
  <c r="N30" i="22"/>
  <c r="O30" i="22"/>
  <c r="R30" i="22"/>
  <c r="S30" i="22"/>
  <c r="K31" i="22"/>
  <c r="L31" i="22"/>
  <c r="M31" i="22"/>
  <c r="P31" i="22" s="1"/>
  <c r="N31" i="22"/>
  <c r="O31" i="22"/>
  <c r="Q31" i="22"/>
  <c r="R31" i="22"/>
  <c r="S31" i="22"/>
  <c r="K32" i="22"/>
  <c r="L32" i="22"/>
  <c r="M32" i="22"/>
  <c r="N32" i="22"/>
  <c r="O32" i="22"/>
  <c r="P32" i="22"/>
  <c r="Q32" i="22"/>
  <c r="R32" i="22"/>
  <c r="S32" i="22"/>
  <c r="K33" i="22"/>
  <c r="L33" i="22"/>
  <c r="M33" i="22"/>
  <c r="N33" i="22"/>
  <c r="O33" i="22"/>
  <c r="R33" i="22"/>
  <c r="S33" i="22"/>
  <c r="K34" i="22"/>
  <c r="L34" i="22"/>
  <c r="M34" i="22"/>
  <c r="N34" i="22"/>
  <c r="Q34" i="22" s="1"/>
  <c r="O34" i="22"/>
  <c r="P34" i="22" s="1"/>
  <c r="R34" i="22"/>
  <c r="S34" i="22"/>
  <c r="K35" i="22"/>
  <c r="L35" i="22"/>
  <c r="M35" i="22"/>
  <c r="P35" i="22" s="1"/>
  <c r="N35" i="22"/>
  <c r="O35" i="22"/>
  <c r="Q35" i="22"/>
  <c r="R35" i="22"/>
  <c r="S35" i="22"/>
  <c r="K36" i="22"/>
  <c r="L36" i="22"/>
  <c r="M36" i="22"/>
  <c r="N36" i="22"/>
  <c r="O36" i="22"/>
  <c r="P36" i="22"/>
  <c r="Q36" i="22"/>
  <c r="R36" i="22"/>
  <c r="S36" i="22"/>
  <c r="G37" i="22"/>
  <c r="K51" i="22"/>
  <c r="L51" i="22"/>
  <c r="M51" i="22"/>
  <c r="N51" i="22"/>
  <c r="O51" i="22"/>
  <c r="R51" i="22"/>
  <c r="S51" i="22"/>
  <c r="K52" i="22"/>
  <c r="L52" i="22"/>
  <c r="M52" i="22"/>
  <c r="N52" i="22"/>
  <c r="O52" i="22"/>
  <c r="P52" i="22" s="1"/>
  <c r="R52" i="22"/>
  <c r="S52" i="22"/>
  <c r="K53" i="22"/>
  <c r="L53" i="22"/>
  <c r="M53" i="22"/>
  <c r="P53" i="22" s="1"/>
  <c r="N53" i="22"/>
  <c r="O53" i="22"/>
  <c r="Q53" i="22"/>
  <c r="R53" i="22"/>
  <c r="S53" i="22"/>
  <c r="K54" i="22"/>
  <c r="L54" i="22"/>
  <c r="M54" i="22"/>
  <c r="N54" i="22"/>
  <c r="O54" i="22"/>
  <c r="P54" i="22"/>
  <c r="Q54" i="22"/>
  <c r="R54" i="22"/>
  <c r="S54" i="22"/>
  <c r="K55" i="22"/>
  <c r="L55" i="22"/>
  <c r="M55" i="22"/>
  <c r="N55" i="22"/>
  <c r="O55" i="22"/>
  <c r="R55" i="22"/>
  <c r="S55" i="22"/>
  <c r="K56" i="22"/>
  <c r="L56" i="22"/>
  <c r="M56" i="22"/>
  <c r="N56" i="22"/>
  <c r="Q56" i="22" s="1"/>
  <c r="O56" i="22"/>
  <c r="P56" i="22" s="1"/>
  <c r="R56" i="22"/>
  <c r="S56" i="22"/>
  <c r="K57" i="22"/>
  <c r="L57" i="22"/>
  <c r="M57" i="22"/>
  <c r="P57" i="22" s="1"/>
  <c r="N57" i="22"/>
  <c r="O57" i="22"/>
  <c r="Q57" i="22"/>
  <c r="R57" i="22"/>
  <c r="S57" i="22"/>
  <c r="K58" i="22"/>
  <c r="L58" i="22"/>
  <c r="M58" i="22"/>
  <c r="N58" i="22"/>
  <c r="O58" i="22"/>
  <c r="P58" i="22"/>
  <c r="Q58" i="22"/>
  <c r="R58" i="22"/>
  <c r="S58" i="22"/>
  <c r="K59" i="22"/>
  <c r="L59" i="22"/>
  <c r="M59" i="22"/>
  <c r="N59" i="22"/>
  <c r="Q59" i="22" s="1"/>
  <c r="O59" i="22"/>
  <c r="P59" i="22" s="1"/>
  <c r="R59" i="22"/>
  <c r="S59" i="22"/>
  <c r="K60" i="22"/>
  <c r="L60" i="22"/>
  <c r="M60" i="22"/>
  <c r="N60" i="22"/>
  <c r="O60" i="22"/>
  <c r="R60" i="22"/>
  <c r="S60" i="22"/>
  <c r="G61" i="22"/>
  <c r="L61" i="22"/>
  <c r="K75" i="22"/>
  <c r="L75" i="22"/>
  <c r="M75" i="22"/>
  <c r="P75" i="22" s="1"/>
  <c r="N75" i="22"/>
  <c r="Q75" i="22" s="1"/>
  <c r="O75" i="22"/>
  <c r="R75" i="22"/>
  <c r="S75" i="22"/>
  <c r="K76" i="22"/>
  <c r="L76" i="22"/>
  <c r="M76" i="22"/>
  <c r="P76" i="22" s="1"/>
  <c r="N76" i="22"/>
  <c r="O76" i="22"/>
  <c r="Q76" i="22"/>
  <c r="R76" i="22"/>
  <c r="S76" i="22"/>
  <c r="K77" i="22"/>
  <c r="L77" i="22"/>
  <c r="M77" i="22"/>
  <c r="N77" i="22"/>
  <c r="Q77" i="22" s="1"/>
  <c r="O77" i="22"/>
  <c r="P77" i="22"/>
  <c r="R77" i="22"/>
  <c r="S77" i="22"/>
  <c r="K78" i="22"/>
  <c r="L78" i="22"/>
  <c r="M78" i="22"/>
  <c r="P78" i="22" s="1"/>
  <c r="N78" i="22"/>
  <c r="Q78" i="22" s="1"/>
  <c r="O78" i="22"/>
  <c r="R78" i="22"/>
  <c r="S78" i="22"/>
  <c r="K79" i="22"/>
  <c r="L79" i="22"/>
  <c r="M79" i="22"/>
  <c r="P79" i="22" s="1"/>
  <c r="N79" i="22"/>
  <c r="Q79" i="22" s="1"/>
  <c r="O79" i="22"/>
  <c r="R79" i="22"/>
  <c r="S79" i="22"/>
  <c r="K80" i="22"/>
  <c r="L80" i="22"/>
  <c r="M80" i="22"/>
  <c r="P80" i="22" s="1"/>
  <c r="N80" i="22"/>
  <c r="O80" i="22"/>
  <c r="Q80" i="22"/>
  <c r="R80" i="22"/>
  <c r="S80" i="22"/>
  <c r="K81" i="22"/>
  <c r="L81" i="22"/>
  <c r="M81" i="22"/>
  <c r="N81" i="22"/>
  <c r="Q81" i="22" s="1"/>
  <c r="O81" i="22"/>
  <c r="P81" i="22"/>
  <c r="R81" i="22"/>
  <c r="S81" i="22"/>
  <c r="K82" i="22"/>
  <c r="L82" i="22"/>
  <c r="M82" i="22"/>
  <c r="P82" i="22" s="1"/>
  <c r="N82" i="22"/>
  <c r="Q82" i="22" s="1"/>
  <c r="O82" i="22"/>
  <c r="R82" i="22"/>
  <c r="S82" i="22"/>
  <c r="K83" i="22"/>
  <c r="L83" i="22"/>
  <c r="M83" i="22"/>
  <c r="P83" i="22" s="1"/>
  <c r="N83" i="22"/>
  <c r="Q83" i="22" s="1"/>
  <c r="O83" i="22"/>
  <c r="R83" i="22"/>
  <c r="S83" i="22"/>
  <c r="K84" i="22"/>
  <c r="L84" i="22"/>
  <c r="M84" i="22"/>
  <c r="P84" i="22" s="1"/>
  <c r="N84" i="22"/>
  <c r="O84" i="22"/>
  <c r="Q84" i="22"/>
  <c r="R84" i="22"/>
  <c r="S84" i="22"/>
  <c r="G85" i="22"/>
  <c r="K85" i="22"/>
  <c r="O85" i="22"/>
  <c r="K99" i="22"/>
  <c r="L99" i="22"/>
  <c r="L109" i="22" s="1"/>
  <c r="M99" i="22"/>
  <c r="N99" i="22"/>
  <c r="Q99" i="22" s="1"/>
  <c r="O99" i="22"/>
  <c r="P99" i="22"/>
  <c r="P109" i="22" s="1"/>
  <c r="M109" i="22" s="1"/>
  <c r="R99" i="22"/>
  <c r="S99" i="22"/>
  <c r="K100" i="22"/>
  <c r="L100" i="22"/>
  <c r="M100" i="22"/>
  <c r="P100" i="22" s="1"/>
  <c r="N100" i="22"/>
  <c r="Q100" i="22" s="1"/>
  <c r="O100" i="22"/>
  <c r="R100" i="22"/>
  <c r="S100" i="22"/>
  <c r="K101" i="22"/>
  <c r="L101" i="22"/>
  <c r="M101" i="22"/>
  <c r="P101" i="22" s="1"/>
  <c r="N101" i="22"/>
  <c r="Q101" i="22" s="1"/>
  <c r="Q109" i="22" s="1"/>
  <c r="N109" i="22" s="1"/>
  <c r="O101" i="22"/>
  <c r="R101" i="22"/>
  <c r="S101" i="22"/>
  <c r="K102" i="22"/>
  <c r="L102" i="22"/>
  <c r="M102" i="22"/>
  <c r="P102" i="22" s="1"/>
  <c r="N102" i="22"/>
  <c r="O102" i="22"/>
  <c r="Q102" i="22"/>
  <c r="R102" i="22"/>
  <c r="S102" i="22"/>
  <c r="K103" i="22"/>
  <c r="L103" i="22"/>
  <c r="M103" i="22"/>
  <c r="N103" i="22"/>
  <c r="Q103" i="22" s="1"/>
  <c r="O103" i="22"/>
  <c r="P103" i="22"/>
  <c r="R103" i="22"/>
  <c r="S103" i="22"/>
  <c r="K104" i="22"/>
  <c r="L104" i="22"/>
  <c r="M104" i="22"/>
  <c r="P104" i="22" s="1"/>
  <c r="N104" i="22"/>
  <c r="Q104" i="22" s="1"/>
  <c r="O104" i="22"/>
  <c r="R104" i="22"/>
  <c r="S104" i="22"/>
  <c r="K105" i="22"/>
  <c r="L105" i="22"/>
  <c r="M105" i="22"/>
  <c r="P105" i="22" s="1"/>
  <c r="N105" i="22"/>
  <c r="Q105" i="22" s="1"/>
  <c r="O105" i="22"/>
  <c r="R105" i="22"/>
  <c r="S105" i="22"/>
  <c r="K106" i="22"/>
  <c r="L106" i="22"/>
  <c r="M106" i="22"/>
  <c r="P106" i="22" s="1"/>
  <c r="N106" i="22"/>
  <c r="O106" i="22"/>
  <c r="Q106" i="22"/>
  <c r="R106" i="22"/>
  <c r="S106" i="22"/>
  <c r="K107" i="22"/>
  <c r="L107" i="22"/>
  <c r="M107" i="22"/>
  <c r="N107" i="22"/>
  <c r="Q107" i="22" s="1"/>
  <c r="O107" i="22"/>
  <c r="P107" i="22"/>
  <c r="R107" i="22"/>
  <c r="S107" i="22"/>
  <c r="K108" i="22"/>
  <c r="L108" i="22"/>
  <c r="M108" i="22"/>
  <c r="P108" i="22" s="1"/>
  <c r="N108" i="22"/>
  <c r="Q108" i="22" s="1"/>
  <c r="O108" i="22"/>
  <c r="R108" i="22"/>
  <c r="S108" i="22"/>
  <c r="G109" i="22"/>
  <c r="K123" i="22"/>
  <c r="L123" i="22"/>
  <c r="M123" i="22"/>
  <c r="P123" i="22" s="1"/>
  <c r="N123" i="22"/>
  <c r="Q123" i="22" s="1"/>
  <c r="O123" i="22"/>
  <c r="R123" i="22"/>
  <c r="S123" i="22"/>
  <c r="K124" i="22"/>
  <c r="L124" i="22"/>
  <c r="M124" i="22"/>
  <c r="N124" i="22"/>
  <c r="O124" i="22"/>
  <c r="P124" i="22"/>
  <c r="Q124" i="22"/>
  <c r="R124" i="22"/>
  <c r="S124" i="22"/>
  <c r="K125" i="22"/>
  <c r="L125" i="22"/>
  <c r="M125" i="22"/>
  <c r="N125" i="22"/>
  <c r="O125" i="22"/>
  <c r="P125" i="22" s="1"/>
  <c r="R125" i="22"/>
  <c r="S125" i="22"/>
  <c r="K126" i="22"/>
  <c r="L126" i="22"/>
  <c r="M126" i="22"/>
  <c r="P126" i="22" s="1"/>
  <c r="N126" i="22"/>
  <c r="O126" i="22"/>
  <c r="R126" i="22"/>
  <c r="S126" i="22"/>
  <c r="K127" i="22"/>
  <c r="L127" i="22"/>
  <c r="M127" i="22"/>
  <c r="P127" i="22" s="1"/>
  <c r="N127" i="22"/>
  <c r="Q127" i="22" s="1"/>
  <c r="O127" i="22"/>
  <c r="R127" i="22"/>
  <c r="S127" i="22"/>
  <c r="K128" i="22"/>
  <c r="L128" i="22"/>
  <c r="M128" i="22"/>
  <c r="N128" i="22"/>
  <c r="O128" i="22"/>
  <c r="P128" i="22"/>
  <c r="Q128" i="22"/>
  <c r="R128" i="22"/>
  <c r="S128" i="22"/>
  <c r="K129" i="22"/>
  <c r="K133" i="22" s="1"/>
  <c r="L129" i="22"/>
  <c r="M129" i="22"/>
  <c r="N129" i="22"/>
  <c r="O129" i="22"/>
  <c r="P129" i="22" s="1"/>
  <c r="R129" i="22"/>
  <c r="S129" i="22"/>
  <c r="K130" i="22"/>
  <c r="L130" i="22"/>
  <c r="M130" i="22"/>
  <c r="P130" i="22" s="1"/>
  <c r="N130" i="22"/>
  <c r="O130" i="22"/>
  <c r="R130" i="22"/>
  <c r="S130" i="22"/>
  <c r="K131" i="22"/>
  <c r="L131" i="22"/>
  <c r="M131" i="22"/>
  <c r="P131" i="22" s="1"/>
  <c r="N131" i="22"/>
  <c r="Q131" i="22" s="1"/>
  <c r="O131" i="22"/>
  <c r="R131" i="22"/>
  <c r="S131" i="22"/>
  <c r="K132" i="22"/>
  <c r="L132" i="22"/>
  <c r="M132" i="22"/>
  <c r="N132" i="22"/>
  <c r="O132" i="22"/>
  <c r="P132" i="22"/>
  <c r="Q132" i="22"/>
  <c r="R132" i="22"/>
  <c r="S132" i="22"/>
  <c r="G133" i="22"/>
  <c r="F133" i="22"/>
  <c r="F109" i="22"/>
  <c r="F85" i="22"/>
  <c r="F61" i="22"/>
  <c r="F37" i="22"/>
  <c r="F166" i="24"/>
  <c r="F165" i="24"/>
  <c r="F164" i="24"/>
  <c r="F163" i="24"/>
  <c r="B138" i="24"/>
  <c r="E170" i="24" s="1"/>
  <c r="B137" i="24"/>
  <c r="D170" i="24" s="1"/>
  <c r="B136" i="24"/>
  <c r="C170" i="24" s="1"/>
  <c r="B76" i="24"/>
  <c r="C147" i="24" s="1"/>
  <c r="D42" i="24"/>
  <c r="C42" i="24"/>
  <c r="B42" i="24"/>
  <c r="D41" i="24"/>
  <c r="C41" i="24"/>
  <c r="B41" i="24"/>
  <c r="D37" i="24"/>
  <c r="C37" i="24"/>
  <c r="C36" i="24" s="1"/>
  <c r="B37" i="24"/>
  <c r="B36" i="24" s="1"/>
  <c r="E32" i="24"/>
  <c r="B32" i="24"/>
  <c r="E31" i="24"/>
  <c r="D31" i="24"/>
  <c r="E30" i="24"/>
  <c r="B30" i="24"/>
  <c r="D22" i="24"/>
  <c r="C22" i="24"/>
  <c r="B22" i="24"/>
  <c r="M20" i="24"/>
  <c r="D20" i="24"/>
  <c r="D11" i="24"/>
  <c r="D9" i="24"/>
  <c r="D8" i="24"/>
  <c r="B7" i="24"/>
  <c r="E1" i="24"/>
  <c r="R2" i="17"/>
  <c r="Q2" i="17"/>
  <c r="P2" i="17"/>
  <c r="O2" i="17"/>
  <c r="N2" i="17"/>
  <c r="M2" i="17"/>
  <c r="L2" i="17"/>
  <c r="K2" i="17"/>
  <c r="I2" i="17"/>
  <c r="H2" i="17"/>
  <c r="G2" i="17"/>
  <c r="A2" i="17"/>
  <c r="F162" i="1"/>
  <c r="DG2" i="17" s="1"/>
  <c r="E162" i="1"/>
  <c r="DF2" i="17" s="1"/>
  <c r="D162" i="1"/>
  <c r="DE2" i="17" s="1"/>
  <c r="F161" i="1"/>
  <c r="DB2" i="17" s="1"/>
  <c r="F154" i="1"/>
  <c r="B154" i="1"/>
  <c r="F153" i="1"/>
  <c r="B153" i="1"/>
  <c r="F145" i="1"/>
  <c r="CW2" i="17" s="1"/>
  <c r="F144" i="1"/>
  <c r="CR2" i="17" s="1"/>
  <c r="F143" i="1"/>
  <c r="CM2" i="17" s="1"/>
  <c r="C143" i="1"/>
  <c r="CJ2" i="17" s="1"/>
  <c r="B143" i="1"/>
  <c r="CI2" i="17" s="1"/>
  <c r="G132" i="1"/>
  <c r="E37" i="24" s="1"/>
  <c r="E36" i="24" s="1"/>
  <c r="F132" i="1"/>
  <c r="E132" i="1"/>
  <c r="D132" i="1"/>
  <c r="C132" i="1"/>
  <c r="B132" i="1"/>
  <c r="G129" i="1"/>
  <c r="F129" i="1"/>
  <c r="E129" i="1"/>
  <c r="D129" i="1"/>
  <c r="C129" i="1"/>
  <c r="B129" i="1"/>
  <c r="C118" i="1"/>
  <c r="C32" i="24" s="1"/>
  <c r="B118" i="1"/>
  <c r="C117" i="1"/>
  <c r="BH2" i="17" s="1"/>
  <c r="B117" i="1"/>
  <c r="C116" i="1"/>
  <c r="BF2" i="17" s="1"/>
  <c r="B116" i="1"/>
  <c r="BE2" i="17" s="1"/>
  <c r="C106" i="1"/>
  <c r="B106" i="1"/>
  <c r="D103" i="1"/>
  <c r="C103" i="1"/>
  <c r="C11" i="24" s="1"/>
  <c r="B103" i="1"/>
  <c r="C101" i="1"/>
  <c r="C107" i="1" s="1"/>
  <c r="D100" i="1"/>
  <c r="C100" i="1"/>
  <c r="C9" i="24" s="1"/>
  <c r="B100" i="1"/>
  <c r="D99" i="1"/>
  <c r="C99" i="1"/>
  <c r="C8" i="24" s="1"/>
  <c r="C15" i="24" s="1"/>
  <c r="B99" i="1"/>
  <c r="AZ2" i="17" s="1"/>
  <c r="D98" i="1"/>
  <c r="C98" i="1"/>
  <c r="C7" i="24" s="1"/>
  <c r="B98" i="1"/>
  <c r="AY2" i="17" s="1"/>
  <c r="B71" i="1"/>
  <c r="D69" i="1" s="1"/>
  <c r="C69" i="1"/>
  <c r="C16" i="1"/>
  <c r="J2" i="17" s="1"/>
  <c r="F14" i="1"/>
  <c r="AF2" i="17" s="1"/>
  <c r="C14" i="1"/>
  <c r="C12" i="1"/>
  <c r="E9" i="1"/>
  <c r="AB2" i="17" s="1"/>
  <c r="C9" i="1"/>
  <c r="C1" i="1"/>
  <c r="C160" i="24" s="1"/>
  <c r="D70" i="1" l="1"/>
  <c r="D68" i="1"/>
  <c r="D71" i="1" s="1"/>
  <c r="C71" i="1"/>
  <c r="C294" i="1" s="1"/>
  <c r="C295" i="1" s="1"/>
  <c r="E207" i="24"/>
  <c r="F190" i="24"/>
  <c r="G190" i="24" s="1"/>
  <c r="H190" i="24"/>
  <c r="F183" i="24"/>
  <c r="G183" i="24" s="1"/>
  <c r="D282" i="1"/>
  <c r="D284" i="1" s="1"/>
  <c r="E282" i="1"/>
  <c r="E284" i="1" s="1"/>
  <c r="C194" i="24"/>
  <c r="G284" i="1"/>
  <c r="B21" i="24"/>
  <c r="B23" i="24" s="1"/>
  <c r="D21" i="24"/>
  <c r="D23" i="24" s="1"/>
  <c r="C173" i="24"/>
  <c r="C187" i="24"/>
  <c r="C180" i="24"/>
  <c r="D305" i="1"/>
  <c r="C21" i="24"/>
  <c r="C23" i="24" s="1"/>
  <c r="D198" i="1"/>
  <c r="E198" i="1"/>
  <c r="D127" i="24"/>
  <c r="B164" i="24"/>
  <c r="E127" i="24"/>
  <c r="G37" i="24"/>
  <c r="Q85" i="22"/>
  <c r="N85" i="22" s="1"/>
  <c r="C97" i="1"/>
  <c r="C6" i="24" s="1"/>
  <c r="C14" i="24" s="1"/>
  <c r="E114" i="1"/>
  <c r="E29" i="24" s="1"/>
  <c r="D97" i="1"/>
  <c r="D6" i="24" s="1"/>
  <c r="D14" i="24" s="1"/>
  <c r="C114" i="1"/>
  <c r="C29" i="24" s="1"/>
  <c r="D152" i="1"/>
  <c r="B160" i="1"/>
  <c r="C189" i="1"/>
  <c r="E218" i="1"/>
  <c r="E225" i="1"/>
  <c r="D236" i="1"/>
  <c r="C254" i="1"/>
  <c r="C312" i="1"/>
  <c r="D327" i="1"/>
  <c r="A154" i="24"/>
  <c r="D166" i="24" s="1"/>
  <c r="B172" i="24"/>
  <c r="B174" i="24"/>
  <c r="B176" i="24"/>
  <c r="B179" i="24"/>
  <c r="B181" i="24"/>
  <c r="B183" i="24"/>
  <c r="B186" i="24"/>
  <c r="B188" i="24"/>
  <c r="B190" i="24"/>
  <c r="B193" i="24"/>
  <c r="B195" i="24"/>
  <c r="D114" i="1"/>
  <c r="D29" i="24" s="1"/>
  <c r="E152" i="1"/>
  <c r="C160" i="1"/>
  <c r="D189" i="1"/>
  <c r="B218" i="1"/>
  <c r="F218" i="1"/>
  <c r="F225" i="1"/>
  <c r="E236" i="1"/>
  <c r="D254" i="1"/>
  <c r="B264" i="1"/>
  <c r="B19" i="24" s="1"/>
  <c r="D312" i="1"/>
  <c r="A151" i="24"/>
  <c r="D163" i="24" s="1"/>
  <c r="I160" i="24" s="1"/>
  <c r="B171" i="24"/>
  <c r="A202" i="24" s="1"/>
  <c r="B177" i="24"/>
  <c r="B178" i="24"/>
  <c r="A203" i="24" s="1"/>
  <c r="B184" i="24"/>
  <c r="B185" i="24"/>
  <c r="A204" i="24" s="1"/>
  <c r="B191" i="24"/>
  <c r="B192" i="24"/>
  <c r="A205" i="24" s="1"/>
  <c r="F189" i="1"/>
  <c r="G218" i="1"/>
  <c r="F236" i="1"/>
  <c r="C327" i="1"/>
  <c r="B187" i="24"/>
  <c r="B196" i="24"/>
  <c r="A102" i="24"/>
  <c r="E169" i="1"/>
  <c r="F160" i="1"/>
  <c r="F141" i="1"/>
  <c r="B141" i="1"/>
  <c r="D124" i="1"/>
  <c r="D105" i="1"/>
  <c r="B73" i="1"/>
  <c r="D169" i="1"/>
  <c r="F152" i="1"/>
  <c r="G124" i="1"/>
  <c r="C124" i="1"/>
  <c r="C105" i="1"/>
  <c r="C152" i="1"/>
  <c r="B189" i="1"/>
  <c r="C218" i="1"/>
  <c r="D160" i="1"/>
  <c r="H218" i="1"/>
  <c r="B254" i="1"/>
  <c r="C264" i="1"/>
  <c r="C19" i="24" s="1"/>
  <c r="A152" i="24"/>
  <c r="D164" i="24" s="1"/>
  <c r="B170" i="24"/>
  <c r="B175" i="24"/>
  <c r="B194" i="24"/>
  <c r="A101" i="24"/>
  <c r="E141" i="1"/>
  <c r="B114" i="1"/>
  <c r="B29" i="24" s="1"/>
  <c r="B97" i="1"/>
  <c r="B6" i="24" s="1"/>
  <c r="B14" i="24" s="1"/>
  <c r="E160" i="1"/>
  <c r="G225" i="1"/>
  <c r="D264" i="1"/>
  <c r="D19" i="24" s="1"/>
  <c r="C73" i="1"/>
  <c r="D106" i="1"/>
  <c r="D101" i="1"/>
  <c r="B9" i="24"/>
  <c r="C141" i="1"/>
  <c r="C30" i="24"/>
  <c r="D36" i="24"/>
  <c r="G36" i="24" s="1"/>
  <c r="B105" i="1"/>
  <c r="E124" i="1"/>
  <c r="F169" i="1"/>
  <c r="G32" i="24"/>
  <c r="A99" i="24"/>
  <c r="L133" i="22"/>
  <c r="P85" i="22"/>
  <c r="M85" i="22" s="1"/>
  <c r="P60" i="22"/>
  <c r="Q55" i="22"/>
  <c r="P55" i="22"/>
  <c r="O37" i="22"/>
  <c r="Q33" i="22"/>
  <c r="P33" i="22"/>
  <c r="Q29" i="22"/>
  <c r="Q37" i="22" s="1"/>
  <c r="N37" i="22" s="1"/>
  <c r="B189" i="24"/>
  <c r="B182" i="24"/>
  <c r="H176" i="24"/>
  <c r="B173" i="24"/>
  <c r="BA2" i="17"/>
  <c r="D218" i="1"/>
  <c r="C10" i="24"/>
  <c r="C12" i="24" s="1"/>
  <c r="B101" i="1"/>
  <c r="B107" i="1" s="1"/>
  <c r="F124" i="1"/>
  <c r="B152" i="1"/>
  <c r="B10" i="24"/>
  <c r="E20" i="24"/>
  <c r="A100" i="24"/>
  <c r="O133" i="22"/>
  <c r="Q130" i="22"/>
  <c r="Q129" i="22"/>
  <c r="Q126" i="22"/>
  <c r="Q125" i="22"/>
  <c r="Q133" i="22" s="1"/>
  <c r="N133" i="22" s="1"/>
  <c r="O109" i="22"/>
  <c r="K109" i="22"/>
  <c r="L85" i="22"/>
  <c r="Q52" i="22"/>
  <c r="Q30" i="22"/>
  <c r="H183" i="24"/>
  <c r="B180" i="24"/>
  <c r="K160" i="24"/>
  <c r="D296" i="1"/>
  <c r="BJ2" i="17"/>
  <c r="B169" i="1"/>
  <c r="D7" i="24"/>
  <c r="P13" i="22"/>
  <c r="M13" i="22" s="1"/>
  <c r="A153" i="24"/>
  <c r="D165" i="24" s="1"/>
  <c r="B327" i="1"/>
  <c r="E189" i="1"/>
  <c r="D73" i="1"/>
  <c r="C102" i="1"/>
  <c r="BG2" i="17"/>
  <c r="B31" i="24"/>
  <c r="B124" i="1"/>
  <c r="D141" i="1"/>
  <c r="C169" i="1"/>
  <c r="E22" i="24"/>
  <c r="P133" i="22"/>
  <c r="M133" i="22" s="1"/>
  <c r="Q60" i="22"/>
  <c r="Q51" i="22"/>
  <c r="P51" i="22"/>
  <c r="P61" i="22" s="1"/>
  <c r="M61" i="22" s="1"/>
  <c r="O61" i="22"/>
  <c r="K61" i="22"/>
  <c r="I176" i="24"/>
  <c r="AA2" i="17"/>
  <c r="B312" i="1"/>
  <c r="H225" i="1"/>
  <c r="B8" i="24"/>
  <c r="P30" i="22"/>
  <c r="F176" i="24"/>
  <c r="G176" i="24" s="1"/>
  <c r="B139" i="24"/>
  <c r="D295" i="1"/>
  <c r="D173" i="24"/>
  <c r="D180" i="24"/>
  <c r="D187" i="24"/>
  <c r="D194" i="24"/>
  <c r="C68" i="1"/>
  <c r="C70" i="1"/>
  <c r="B11" i="24"/>
  <c r="C31" i="24"/>
  <c r="P37" i="22"/>
  <c r="M37" i="22" s="1"/>
  <c r="Q4" i="22"/>
  <c r="Q13" i="22" s="1"/>
  <c r="N13" i="22" s="1"/>
  <c r="O13" i="22"/>
  <c r="K13" i="22"/>
  <c r="B163" i="24"/>
  <c r="D297" i="1"/>
  <c r="I190" i="24" l="1"/>
  <c r="I183" i="24"/>
  <c r="E194" i="24"/>
  <c r="E187" i="24"/>
  <c r="E180" i="24"/>
  <c r="E173" i="24"/>
  <c r="F173" i="24" s="1"/>
  <c r="G173" i="24" s="1"/>
  <c r="F194" i="24"/>
  <c r="G194" i="24" s="1"/>
  <c r="F180" i="24"/>
  <c r="G180" i="24" s="1"/>
  <c r="F187" i="24"/>
  <c r="G187" i="24" s="1"/>
  <c r="E23" i="24"/>
  <c r="E21" i="24"/>
  <c r="F37" i="24"/>
  <c r="F32" i="24"/>
  <c r="D298" i="1"/>
  <c r="D15" i="24"/>
  <c r="E7" i="24"/>
  <c r="B130" i="24"/>
  <c r="E124" i="24" s="1"/>
  <c r="D10" i="24"/>
  <c r="D107" i="1"/>
  <c r="D102" i="1"/>
  <c r="B102" i="1"/>
  <c r="G29" i="24"/>
  <c r="G30" i="24"/>
  <c r="F30" i="24" s="1"/>
  <c r="D147" i="24"/>
  <c r="E147" i="24" s="1"/>
  <c r="G147" i="24" s="1"/>
  <c r="F170" i="24"/>
  <c r="E10" i="24"/>
  <c r="C16" i="24"/>
  <c r="B12" i="24"/>
  <c r="B15" i="24"/>
  <c r="E8" i="24"/>
  <c r="Q61" i="22"/>
  <c r="N61" i="22" s="1"/>
  <c r="G31" i="24"/>
  <c r="F31" i="24" s="1"/>
  <c r="B16" i="24"/>
  <c r="E9" i="24"/>
  <c r="F19" i="24"/>
  <c r="E12" i="24" l="1"/>
  <c r="G170" i="24"/>
  <c r="E171" i="24"/>
  <c r="C171" i="24"/>
  <c r="D171" i="24"/>
  <c r="B131" i="24"/>
  <c r="E125" i="24" s="1"/>
  <c r="D16" i="24"/>
  <c r="B132" i="24"/>
  <c r="E126" i="24" s="1"/>
  <c r="D12" i="24"/>
  <c r="H147" i="24"/>
  <c r="I147" i="24" s="1"/>
  <c r="C125" i="24"/>
  <c r="C124" i="24"/>
  <c r="C127" i="24" s="1"/>
  <c r="C126" i="24"/>
  <c r="B125" i="24" l="1"/>
  <c r="D125" i="24" s="1"/>
  <c r="F125" i="24" s="1"/>
  <c r="B126" i="24"/>
  <c r="D126" i="24" s="1"/>
  <c r="F126" i="24" s="1"/>
  <c r="B124" i="24"/>
  <c r="C202" i="24"/>
  <c r="D174" i="24"/>
  <c r="F171" i="24"/>
  <c r="C174" i="24"/>
  <c r="B202" i="24"/>
  <c r="C172" i="24"/>
  <c r="D172" i="24"/>
  <c r="E172" i="24" s="1"/>
  <c r="E174" i="24"/>
  <c r="D202" i="24"/>
  <c r="E175" i="24" l="1"/>
  <c r="E178" i="24" s="1"/>
  <c r="F174" i="24"/>
  <c r="G174" i="24" s="1"/>
  <c r="F172" i="24"/>
  <c r="G172" i="24" s="1"/>
  <c r="G171" i="24"/>
  <c r="J171" i="24"/>
  <c r="D175" i="24"/>
  <c r="D178" i="24" s="1"/>
  <c r="C175" i="24"/>
  <c r="B127" i="24"/>
  <c r="D124" i="24"/>
  <c r="F124" i="24" s="1"/>
  <c r="E202" i="24"/>
  <c r="E181" i="24" l="1"/>
  <c r="D179" i="24"/>
  <c r="E179" i="24" s="1"/>
  <c r="C179" i="24"/>
  <c r="D203" i="24"/>
  <c r="D181" i="24"/>
  <c r="C203" i="24"/>
  <c r="F127" i="24"/>
  <c r="G124" i="24" s="1"/>
  <c r="C195" i="1" s="1"/>
  <c r="C178" i="24"/>
  <c r="F175" i="24"/>
  <c r="G175" i="24" s="1"/>
  <c r="E182" i="24" l="1"/>
  <c r="E185" i="24" s="1"/>
  <c r="C186" i="24" s="1"/>
  <c r="D182" i="24"/>
  <c r="D185" i="24" s="1"/>
  <c r="F179" i="24"/>
  <c r="G179" i="24" s="1"/>
  <c r="G127" i="24"/>
  <c r="G126" i="24"/>
  <c r="C197" i="1" s="1"/>
  <c r="G125" i="24"/>
  <c r="C196" i="1" s="1"/>
  <c r="C198" i="1" s="1"/>
  <c r="F178" i="24"/>
  <c r="C181" i="24"/>
  <c r="F181" i="24" s="1"/>
  <c r="G181" i="24" s="1"/>
  <c r="B203" i="24"/>
  <c r="E203" i="24" s="1"/>
  <c r="D186" i="24" l="1"/>
  <c r="E188" i="24"/>
  <c r="D204" i="24"/>
  <c r="D188" i="24"/>
  <c r="E186" i="24"/>
  <c r="D177" i="24"/>
  <c r="E177" i="24"/>
  <c r="C204" i="24"/>
  <c r="C177" i="24"/>
  <c r="C182" i="24"/>
  <c r="F182" i="24" s="1"/>
  <c r="G182" i="24" s="1"/>
  <c r="J178" i="24"/>
  <c r="G178" i="24"/>
  <c r="D189" i="24" l="1"/>
  <c r="D192" i="24" s="1"/>
  <c r="D195" i="24" s="1"/>
  <c r="E189" i="24"/>
  <c r="E192" i="24" s="1"/>
  <c r="E195" i="24" s="1"/>
  <c r="F186" i="24"/>
  <c r="G186" i="24" s="1"/>
  <c r="C185" i="24"/>
  <c r="C205" i="24" l="1"/>
  <c r="D205" i="24"/>
  <c r="C193" i="24"/>
  <c r="D193" i="24"/>
  <c r="E193" i="24" s="1"/>
  <c r="E196" i="24" s="1"/>
  <c r="B204" i="24"/>
  <c r="E204" i="24" s="1"/>
  <c r="C188" i="24"/>
  <c r="F188" i="24" s="1"/>
  <c r="G188" i="24" s="1"/>
  <c r="F185" i="24"/>
  <c r="E184" i="24" s="1"/>
  <c r="F193" i="24" l="1"/>
  <c r="G193" i="24" s="1"/>
  <c r="D196" i="24"/>
  <c r="G185" i="24"/>
  <c r="D184" i="24"/>
  <c r="C184" i="24"/>
  <c r="C189" i="24"/>
  <c r="F189" i="24" s="1"/>
  <c r="G189" i="24" s="1"/>
  <c r="J185" i="24"/>
  <c r="C192" i="24" l="1"/>
  <c r="F192" i="24" l="1"/>
  <c r="G192" i="24" s="1"/>
  <c r="B205" i="24"/>
  <c r="E205" i="24" s="1"/>
  <c r="C195" i="24"/>
  <c r="F195" i="24" s="1"/>
  <c r="G195" i="24" s="1"/>
  <c r="D191" i="24" l="1"/>
  <c r="E191" i="24"/>
  <c r="J192" i="24"/>
  <c r="C191" i="24"/>
  <c r="C196" i="24"/>
  <c r="F196" i="24" s="1"/>
  <c r="G196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Sjöberg Ingemar</author>
  </authors>
  <commentList>
    <comment ref="C1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Älgskötsel-områdets namn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5" authorId="0" shapeId="0" xr:uid="{00000000-0006-0000-0200-000002000000}">
      <text>
        <r>
          <rPr>
            <b/>
            <sz val="9"/>
            <color rgb="FF000000"/>
            <rFont val="Tahoma"/>
            <family val="2"/>
          </rPr>
          <t>Fyll i Länsstyrelsens diarienummer (om det är känt)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C6" authorId="0" shapeId="0" xr:uid="{00000000-0006-0000-0200-000003000000}">
      <text>
        <r>
          <rPr>
            <sz val="9"/>
            <color rgb="FF000000"/>
            <rFont val="Tahoma"/>
            <family val="2"/>
          </rPr>
          <t xml:space="preserve">Ang datum för upprättande eller revidering av denna älgskötselplan
</t>
        </r>
      </text>
    </comment>
    <comment ref="C8" authorId="0" shapeId="0" xr:uid="{00000000-0006-0000-0200-000004000000}">
      <text>
        <r>
          <rPr>
            <b/>
            <sz val="9"/>
            <color rgb="FF000000"/>
            <rFont val="Tahoma"/>
            <family val="2"/>
          </rPr>
          <t>Länsstyrelsens reg nr.</t>
        </r>
        <r>
          <rPr>
            <sz val="9"/>
            <color rgb="FF000000"/>
            <rFont val="Tahoma"/>
            <family val="2"/>
          </rPr>
          <t xml:space="preserve">
lämnas tom vid nytt område som inte fått reg nr. av Länsstyrelsen</t>
        </r>
      </text>
    </comment>
    <comment ref="D12" authorId="0" shapeId="0" xr:uid="{00000000-0006-0000-0200-000005000000}">
      <text>
        <r>
          <rPr>
            <b/>
            <sz val="9"/>
            <color rgb="FF000000"/>
            <rFont val="Tahoma"/>
            <family val="2"/>
          </rPr>
          <t xml:space="preserve">Ange om arealen är beslutad av Länsstyrelsen eller om det är en ansökt areal  vid nytt eller minskat/utökat älgskötselområde 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C13" authorId="0" shapeId="0" xr:uid="{00000000-0006-0000-0200-000006000000}">
      <text>
        <r>
          <rPr>
            <b/>
            <sz val="9"/>
            <color rgb="FF000000"/>
            <rFont val="Tahoma"/>
            <family val="2"/>
          </rPr>
          <t>Åkermark</t>
        </r>
        <r>
          <rPr>
            <sz val="9"/>
            <color rgb="FF000000"/>
            <rFont val="Tahoma"/>
            <family val="2"/>
          </rPr>
          <t xml:space="preserve">
Informaton om åkermarkens storlek. Arealen används inte i skötselplanens beräkningar.</t>
        </r>
      </text>
    </comment>
    <comment ref="C33" authorId="0" shapeId="0" xr:uid="{00000000-0006-0000-0200-000007000000}">
      <text>
        <r>
          <rPr>
            <b/>
            <sz val="9"/>
            <color rgb="FF000000"/>
            <rFont val="Tahoma"/>
            <family val="2"/>
          </rPr>
          <t>Fyll i roll/uppgift i älgskötselområdet</t>
        </r>
      </text>
    </comment>
    <comment ref="B195" authorId="0" shapeId="0" xr:uid="{00000000-0006-0000-0200-000008000000}">
      <text>
        <r>
          <rPr>
            <b/>
            <sz val="9"/>
            <color rgb="FF000000"/>
            <rFont val="Tahoma"/>
            <family val="2"/>
          </rPr>
          <t xml:space="preserve">Andel tjur av totala stammen 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196" authorId="0" shapeId="0" xr:uid="{00000000-0006-0000-0200-000009000000}">
      <text>
        <r>
          <rPr>
            <b/>
            <sz val="9"/>
            <color rgb="FF000000"/>
            <rFont val="Tahoma"/>
            <family val="2"/>
          </rPr>
          <t xml:space="preserve">Andel vuxna hondjur av totala stammen 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197" authorId="0" shapeId="0" xr:uid="{00000000-0006-0000-0200-00000A000000}">
      <text>
        <r>
          <rPr>
            <b/>
            <sz val="9"/>
            <color rgb="FF000000"/>
            <rFont val="Tahoma"/>
            <family val="2"/>
          </rPr>
          <t>Andel kalv av den totala stammanen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Sjöberg Ingemar</author>
  </authors>
  <commentList>
    <comment ref="A1" authorId="0" shapeId="0" xr:uid="{00000000-0006-0000-0400-000001000000}">
      <text>
        <r>
          <rPr>
            <b/>
            <sz val="9"/>
            <color rgb="FF000000"/>
            <rFont val="Tahoma"/>
            <family val="2"/>
          </rPr>
          <t>Sammanställningav uppgifter från fliken "Skötselplan"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40" authorId="0" shapeId="0" xr:uid="{00000000-0006-0000-0400-000002000000}">
      <text>
        <r>
          <rPr>
            <b/>
            <sz val="9"/>
            <color rgb="FF000000"/>
            <rFont val="Tahoma"/>
            <family val="2"/>
          </rPr>
          <t>Fylls endast i om flyginventering enligt dokomenterad metodik genomförts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76" authorId="0" shapeId="0" xr:uid="{00000000-0006-0000-0400-000003000000}">
      <text>
        <r>
          <rPr>
            <b/>
            <sz val="9"/>
            <color rgb="FF000000"/>
            <rFont val="Tahoma"/>
            <family val="2"/>
          </rPr>
          <t>Samma antal älgar/1000 ha som unde bedömd vinterstam punkt 2.1.6 i skötselplanen. Datat i diagrammen ovan är till hälp för bedömning av älgstammens täthet.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99" authorId="0" shapeId="0" xr:uid="{00000000-0006-0000-0400-000004000000}">
      <text>
        <r>
          <rPr>
            <b/>
            <sz val="9"/>
            <color rgb="FF000000"/>
            <rFont val="Tahoma"/>
            <family val="2"/>
          </rPr>
          <t>Anges som andel kalvar av vuxna hondjur, tex. 0,8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136" authorId="0" shapeId="0" xr:uid="{00000000-0006-0000-0400-000005000000}">
      <text>
        <r>
          <rPr>
            <b/>
            <sz val="9"/>
            <color rgb="FF000000"/>
            <rFont val="Tahoma"/>
            <family val="2"/>
          </rPr>
          <t>Andel tjur av totala stammen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137" authorId="0" shapeId="0" xr:uid="{00000000-0006-0000-0400-000006000000}">
      <text>
        <r>
          <rPr>
            <b/>
            <sz val="9"/>
            <color rgb="FF000000"/>
            <rFont val="Tahoma"/>
            <family val="2"/>
          </rPr>
          <t>Andel vuxna hondjur av totala stammen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138" authorId="0" shapeId="0" xr:uid="{00000000-0006-0000-0400-000007000000}">
      <text>
        <r>
          <rPr>
            <b/>
            <sz val="9"/>
            <color rgb="FF000000"/>
            <rFont val="Tahoma"/>
            <family val="2"/>
          </rPr>
          <t>Andel kalv av den totala stammanen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147" authorId="0" shapeId="0" xr:uid="{00000000-0006-0000-0400-000008000000}">
      <text>
        <r>
          <rPr>
            <sz val="9"/>
            <color rgb="FF000000"/>
            <rFont val="Tahoma"/>
            <family val="2"/>
          </rPr>
          <t>Baserat på uppgifterna i skötselplanen</t>
        </r>
      </text>
    </comment>
    <comment ref="F147" authorId="0" shapeId="0" xr:uid="{00000000-0006-0000-0400-000009000000}">
      <text>
        <r>
          <rPr>
            <sz val="9"/>
            <color rgb="FF000000"/>
            <rFont val="Tahoma"/>
            <family val="2"/>
          </rPr>
          <t xml:space="preserve">Anger den  normala reproduktionen (vuxna djur +födda kalvar). Normala värden 1,3 -1,4. 
</t>
        </r>
      </text>
    </comment>
    <comment ref="I147" authorId="0" shapeId="0" xr:uid="{00000000-0006-0000-0400-00000A000000}">
      <text>
        <r>
          <rPr>
            <b/>
            <sz val="9"/>
            <color rgb="FF000000"/>
            <rFont val="Tahoma"/>
            <family val="2"/>
          </rPr>
          <t>Baserad på registrerade dödligheten i skötselplanen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149" authorId="0" shapeId="0" xr:uid="{00000000-0006-0000-0400-00000B000000}">
      <text>
        <r>
          <rPr>
            <sz val="9"/>
            <color rgb="FF000000"/>
            <rFont val="Tahoma"/>
            <family val="2"/>
          </rPr>
          <t>Dödlighet är antalet älgar som dör under året. Jakten står för merparten av dödligheten, men dessutom tillkommer dödlighet i form av trafikolyckor, (predation)* och övrig dödlighet t.ex. ålder, sjukdomar eller ej trafikrelaterade olyckor.</t>
        </r>
        <r>
          <rPr>
            <b/>
            <sz val="9"/>
            <color rgb="FF000000"/>
            <rFont val="Tahoma"/>
            <family val="2"/>
          </rPr>
          <t xml:space="preserve"> Normalt intrvall ca 4-5 % .</t>
        </r>
        <r>
          <rPr>
            <sz val="9"/>
            <color rgb="FF000000"/>
            <rFont val="Tahoma"/>
            <family val="2"/>
          </rPr>
          <t>Värdet kan vara betydligt högre i områden med mycket viltolyckor eller (rovdjurspredation)*
*Rovdjursredationen beräknas inte här eftersom den redovisas direkt i avskjutningsberäkningen</t>
        </r>
      </text>
    </comment>
    <comment ref="B151" authorId="0" shapeId="0" xr:uid="{00000000-0006-0000-0400-00000C000000}">
      <text>
        <r>
          <rPr>
            <b/>
            <sz val="9"/>
            <color rgb="FF000000"/>
            <rFont val="Tahoma"/>
            <family val="2"/>
          </rPr>
          <t>Övrig dödlighet:
Ange % beräknad dödlighet utöver jakt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165" authorId="0" shapeId="0" xr:uid="{00000000-0006-0000-0400-00000D000000}">
      <text>
        <r>
          <rPr>
            <sz val="9"/>
            <color rgb="FF000000"/>
            <rFont val="Tahoma"/>
            <family val="2"/>
          </rPr>
          <t xml:space="preserve">Normalt föds det något fler tjurkalvar än kvigkalvar. Ca 52 % tjurkalv.
</t>
        </r>
      </text>
    </comment>
  </commentList>
</comments>
</file>

<file path=xl/sharedStrings.xml><?xml version="1.0" encoding="utf-8"?>
<sst xmlns="http://schemas.openxmlformats.org/spreadsheetml/2006/main" count="1721" uniqueCount="1240">
  <si>
    <t>Förutsättningar till ÄSP-mallen</t>
  </si>
  <si>
    <t>Färgernas avsikt:</t>
  </si>
  <si>
    <t>- gul är obligatoriska fält och hämtas i första hand från portalen*</t>
  </si>
  <si>
    <t>- brunröd är valfria fält</t>
  </si>
  <si>
    <t>- gröna fält ifylls av Länsstyrelsen</t>
  </si>
  <si>
    <t>- vita fält beräknas/fylls med automatik</t>
  </si>
  <si>
    <t>* uppgifterna hämtas manuellt, se www.algdata.se</t>
  </si>
  <si>
    <t>Namn på älgskötselområdet</t>
  </si>
  <si>
    <t>Namn på ÄSO</t>
  </si>
  <si>
    <t>1. Handlingskort för älgskötselplanen</t>
  </si>
  <si>
    <t>Typ av plan</t>
  </si>
  <si>
    <t>Diarieföring av älgskötselplanen</t>
  </si>
  <si>
    <t>Version (datum)</t>
  </si>
  <si>
    <t>Ange datum då planen skrivs/ändras</t>
  </si>
  <si>
    <t>Länsstyrelsens reg.nummer</t>
  </si>
  <si>
    <t>Registreringsnummer enligt Länsstyrelsens registreringsbeslut (ex. 01-01-01-001)</t>
  </si>
  <si>
    <t>Älgskötselplan för perioden</t>
  </si>
  <si>
    <t>till och med</t>
  </si>
  <si>
    <t>Planperiod, omfattar åren</t>
  </si>
  <si>
    <t>Reviderad datum</t>
  </si>
  <si>
    <t>Ange senaste datum för revidering (dag då planen signeras)</t>
  </si>
  <si>
    <t>Revidering orsak</t>
  </si>
  <si>
    <t>Välj ett av alternativen i listan</t>
  </si>
  <si>
    <t>Total areal ÄSO (ha)</t>
  </si>
  <si>
    <t>Ange om arelen överensstämmer med Länsstyrelsens registreringsbeslut eller om arealen avser ett nytt/förändrat område</t>
  </si>
  <si>
    <t>Areal åkermark i ha</t>
  </si>
  <si>
    <t>(Arealen används inte i beräkningar, beräkninga basers på total areal)</t>
  </si>
  <si>
    <t>Registrerande län</t>
  </si>
  <si>
    <t>Enligt beslut från LST (län som administrerar ÄSO)</t>
  </si>
  <si>
    <t xml:space="preserve">ÄFO nummer </t>
  </si>
  <si>
    <t>Äfo som äso tillhör</t>
  </si>
  <si>
    <t>ÄFO namn</t>
  </si>
  <si>
    <t>Anges av LST</t>
  </si>
  <si>
    <t>Fastställd av länsstyrelsen den</t>
  </si>
  <si>
    <t>Företädare för älgskötselområdet</t>
  </si>
  <si>
    <t>Namn</t>
  </si>
  <si>
    <t>Telefon</t>
  </si>
  <si>
    <t>Namn på person som ska företräda älgskötselområdet i kommunikation med Länsstyrelsen (ex. sekreterare, ordförande)</t>
  </si>
  <si>
    <t>Aderss</t>
  </si>
  <si>
    <t>Mobiltelefon</t>
  </si>
  <si>
    <t>Postnummer och ort</t>
  </si>
  <si>
    <t>E-postadress</t>
  </si>
  <si>
    <t>Kontaktupgifter registreras i Länsstyrelsens älgjaktregister</t>
  </si>
  <si>
    <t>Ange om det är samma person som är registrerad i Länsstyrelsens register</t>
  </si>
  <si>
    <t>Ange om det är en ny person som ska registreras i Länsstyrelsens register</t>
  </si>
  <si>
    <t>Ange om någon adress eller kontaktuppgift ändrats som ska registreras i Länsstyrelsens register</t>
  </si>
  <si>
    <t>Roll</t>
  </si>
  <si>
    <t>Födelsedatum</t>
  </si>
  <si>
    <t>Ange födelsedatum (inte komplett personnummer). Uppgiften registeras i Länsstyrelsens register för att undvika att dubletter registreras</t>
  </si>
  <si>
    <t>Exelfilen sparas med namn enligt principen:</t>
  </si>
  <si>
    <t>Älgskötselplan_områdesnamn_ÄSO_period_reg_regnummer_ver_datum.filtyp</t>
  </si>
  <si>
    <t xml:space="preserve">Filen sparas enligt instuktionen enhetlig namgivning samt för att undvika förväxling mellan olika versioner </t>
  </si>
  <si>
    <t>Ex. Älgskötselplan_Älgens_ÄSO_2013-2015_reg_06-01-01-001_ver_2013-09-18.xlsx</t>
  </si>
  <si>
    <t>INNEHÅLL:</t>
  </si>
  <si>
    <r>
      <rPr>
        <b/>
        <sz val="14"/>
        <color theme="1"/>
        <rFont val="Calibri"/>
        <family val="2"/>
      </rPr>
      <t>1. MÅLSÄTTNINGAR</t>
    </r>
    <r>
      <rPr>
        <sz val="14"/>
        <color theme="1"/>
        <rFont val="Calibri"/>
        <family val="2"/>
      </rPr>
      <t xml:space="preserve">
1.1 Älgstammen
1.2 Skog och betesskador</t>
    </r>
  </si>
  <si>
    <r>
      <rPr>
        <b/>
        <sz val="14"/>
        <color theme="1"/>
        <rFont val="Calibri"/>
        <family val="2"/>
      </rPr>
      <t>2. NULÄGESBESKRIVNING</t>
    </r>
    <r>
      <rPr>
        <sz val="14"/>
        <color theme="1"/>
        <rFont val="Calibri"/>
        <family val="2"/>
      </rPr>
      <t xml:space="preserve">
2.1 Uppgifter om älgstammen
2.2 Uppgifter om skogstillstånd och betesskador
2.3 Skador på gröda
2.4 Trafikolyckor med älg
2.5 Övrig dödlighet
2.6 Predation</t>
    </r>
  </si>
  <si>
    <t>3. SAMMANFATTNING MÅLSÄTTNINGAR OCH NULÄGE</t>
  </si>
  <si>
    <r>
      <rPr>
        <b/>
        <sz val="14"/>
        <color theme="1"/>
        <rFont val="Calibri"/>
        <family val="2"/>
      </rPr>
      <t>4. HANDLINGSPLAN FRÅN NULÄGE TILL MÅLUPPFYLLNAD</t>
    </r>
    <r>
      <rPr>
        <sz val="14"/>
        <color theme="1"/>
        <rFont val="Calibri"/>
        <family val="2"/>
      </rPr>
      <t xml:space="preserve">
4.1 Planerad avskjutning 
4.2 Avskjutningsförslag licensområden
4.3 Planerade inventeringar</t>
    </r>
  </si>
  <si>
    <r>
      <rPr>
        <b/>
        <sz val="14"/>
        <color theme="1"/>
        <rFont val="Calibri"/>
        <family val="2"/>
      </rPr>
      <t>5. ÖVRIGT</t>
    </r>
    <r>
      <rPr>
        <sz val="14"/>
        <color theme="1"/>
        <rFont val="Calibri"/>
        <family val="2"/>
      </rPr>
      <t xml:space="preserve">
5.1 Redogörelse för samråd och förankringsprocessen inom äso.
5.2 Bilagor</t>
    </r>
  </si>
  <si>
    <t>1. MÅLSÄTTNINGAR</t>
  </si>
  <si>
    <t xml:space="preserve">1.1 Mål för älgstammens utveckling inom älgskötselområdet </t>
  </si>
  <si>
    <t xml:space="preserve">Kvantitativ målsättning för treårsperioden </t>
  </si>
  <si>
    <t>Antal de kommande 3 åren</t>
  </si>
  <si>
    <t>Öka</t>
  </si>
  <si>
    <t>Oförändrad</t>
  </si>
  <si>
    <t>Minska</t>
  </si>
  <si>
    <t>Älgstammen ska</t>
  </si>
  <si>
    <t>Markera med kryss önskad riktning för älgstammens numerär under planperioden.</t>
  </si>
  <si>
    <t>Med hänsyn till:</t>
  </si>
  <si>
    <t>Ange skäl till föreslag avseende vinterstammens nivå</t>
  </si>
  <si>
    <t>Kvantitativ målsättning för treårsperioden (3-års medelvärden)</t>
  </si>
  <si>
    <t>antal</t>
  </si>
  <si>
    <t>antal/1000 ha</t>
  </si>
  <si>
    <t>%</t>
  </si>
  <si>
    <t>Kvantitativa målsättningar för älgstammen inom äso, uttyckt i treårsmedlevärden. Relateras till ÄFP.</t>
  </si>
  <si>
    <t>Tjur</t>
  </si>
  <si>
    <t>Målsättning (treårsmedlevärde) för antal tjurar.</t>
  </si>
  <si>
    <t>Ko</t>
  </si>
  <si>
    <t>Målsättning (treårsmedlevärde) för antal kor.</t>
  </si>
  <si>
    <t>Kalv</t>
  </si>
  <si>
    <t>Målsättning (treårsmedlevärde) för antal kalvar.</t>
  </si>
  <si>
    <t>Totalt</t>
  </si>
  <si>
    <t>Summerad målsättning (treårsmedlevärde).</t>
  </si>
  <si>
    <t>Mål för vinterstam</t>
  </si>
  <si>
    <t>Vinterstam älg/ 1000 ha</t>
  </si>
  <si>
    <t xml:space="preserve">efter jakt </t>
  </si>
  <si>
    <t>Uttryck målsättningen ovan i antal älgar med en decimal per hektar registrerad jaktmark inom ÄSO för respektive år.</t>
  </si>
  <si>
    <t>Kvalitativ målsättning för treårsperioden (3-års medelvärden)</t>
  </si>
  <si>
    <t>Kvalitativa målsättningar för älgstammen inom ÄSO, uttyckt i treårsmedlevärden. Relateras till Länsplaner.</t>
  </si>
  <si>
    <t>Andel tjur av vuxna:</t>
  </si>
  <si>
    <t>i älgobs</t>
  </si>
  <si>
    <t>Målsättning (treårsmedlevärde) för tjurandel av vuxna älgar i älgobs, ange i procent som heltal.</t>
  </si>
  <si>
    <t>Antal kalvar per hondjur:</t>
  </si>
  <si>
    <t>uttryckt som ett decimaltal enligt älgobs</t>
  </si>
  <si>
    <t>Målsättning (treårsmedelvärde) för antal kalvar per hondjur i älgobs, ange med en decimal.</t>
  </si>
  <si>
    <t>Målsättning kalvandel i avskjutning:</t>
  </si>
  <si>
    <t>av totala avskjutningen</t>
  </si>
  <si>
    <t>Målsättning (treårsmedelvärde) för kalvandel i total avskjutning, ange i procent som heltal.</t>
  </si>
  <si>
    <t>Slaktvikter kalv (kg)</t>
  </si>
  <si>
    <t>i medelvikt för alla vägda kalvar från jaktstart</t>
  </si>
  <si>
    <t>Likartat avskjutningsförfarande år från år ger ett rättvisande medelvärde, oavsett kalvarnas kön och när på året de skjuts.</t>
  </si>
  <si>
    <r>
      <rPr>
        <b/>
        <sz val="16"/>
        <color theme="1"/>
        <rFont val="Calibri"/>
        <family val="2"/>
      </rPr>
      <t xml:space="preserve">1.2 Övergripande målsättningar för skogens utveckling inom </t>
    </r>
    <r>
      <rPr>
        <b/>
        <i/>
        <u/>
        <sz val="16"/>
        <color theme="1"/>
        <rFont val="Calibri"/>
        <family val="2"/>
      </rPr>
      <t>ÄLGFÖRVALTNINGSOMRÅDET</t>
    </r>
  </si>
  <si>
    <t>Välj i lista</t>
  </si>
  <si>
    <t>ANDEL oskadade vid 5 m</t>
  </si>
  <si>
    <t>Ange i %</t>
  </si>
  <si>
    <t>Målsättning avseende Äbinsiffror för inventerade tallar/produktionsstammar inom ÄFO som helhet. Anges i procent, heltal.</t>
  </si>
  <si>
    <t>ANTAL oskadade av klövvilt vid 5 m</t>
  </si>
  <si>
    <t>Ange i stammar/hektar</t>
  </si>
  <si>
    <t>Antal oskadade produktionsstammar i rena tallbestånd enligt Äbin. Lägre siffran gäller sämre boniteter, den högre bättre boniteter. Uttrycks vanligen i antal stammar per hektar.</t>
  </si>
  <si>
    <r>
      <rPr>
        <sz val="11"/>
        <color theme="1"/>
        <rFont val="Calibri"/>
        <family val="2"/>
      </rPr>
      <t>Maximalt</t>
    </r>
    <r>
      <rPr>
        <sz val="11"/>
        <color theme="1"/>
        <rFont val="Calibri"/>
        <family val="2"/>
      </rPr>
      <t xml:space="preserve"> årliga färska skador enligt Äbin</t>
    </r>
  </si>
  <si>
    <t>Skadenivå för ÄFO enligt resultat från Äbin. Anges i procent med en decimal.</t>
  </si>
  <si>
    <t>2. NULÄGESBESKRIVNINGAR</t>
  </si>
  <si>
    <t>2.1 Uppgifter om älgstammen inom älgskötselområdet</t>
  </si>
  <si>
    <t>Uppgifter om älgstammen och redovisning av inventeringar enligt föreslagna kvalitetssäkrade metoder.</t>
  </si>
  <si>
    <t xml:space="preserve">2.1.1 Den totala avskjutningen inom ÄSO på årsbasis </t>
  </si>
  <si>
    <t>Data hämtas från Älgportalens databas</t>
  </si>
  <si>
    <t>Bör avse de senaste tre årens avskjutning.</t>
  </si>
  <si>
    <t>http://www.slu.se/PageFiles/33707/2011/FaktaSkog_10_2011.pdf</t>
  </si>
  <si>
    <t>År</t>
  </si>
  <si>
    <t>Avskjutningssiffror hämtas från Älgdata.se eller via Länsstyrelsen</t>
  </si>
  <si>
    <t>Hondjur</t>
  </si>
  <si>
    <t>Automatisk summering av raderna ovan</t>
  </si>
  <si>
    <t>Totalt per 1000 ha</t>
  </si>
  <si>
    <t>Automatisk beräkning baserad på raderna ovan och areal för respektive år</t>
  </si>
  <si>
    <t>Areal (ha för respektive år)</t>
  </si>
  <si>
    <t>Areal för ÄSO respektive år anges</t>
  </si>
  <si>
    <t>Sammanställning av avskjutningen de senaste tre åren för uppföljning av kvalitetsmålen.</t>
  </si>
  <si>
    <t>Tjurandel avskj. (tjur/vuxna)</t>
  </si>
  <si>
    <t>Automatisk beräkning baserad på raderna ovan</t>
  </si>
  <si>
    <t>Kalvandel avskj. (kalv/totalt)</t>
  </si>
  <si>
    <t>Kommentarer/ Redogörelse av olikheter inom området.</t>
  </si>
  <si>
    <t xml:space="preserve">2.1.2 Älgobservationer (älgobs) </t>
  </si>
  <si>
    <t>Minst de senaste fyra årens älgobs jämförs för att trenden i älgpopulationen ska kunna följas.</t>
  </si>
  <si>
    <t>http://www.slu.se/PageFiles/33707/2011/FaktaSkog_11_2011.pdf</t>
  </si>
  <si>
    <t>Antal obstimmar</t>
  </si>
  <si>
    <t>Ska överstiga 5000 timmar för att vara statistiskt acceptabelt. Rödmarkera värden om understiger.</t>
  </si>
  <si>
    <t>Observationer per mantimme</t>
  </si>
  <si>
    <t>Uttrycks som decimaltal med 3 decimaler</t>
  </si>
  <si>
    <t>Antal kalvar per hondjur</t>
  </si>
  <si>
    <t>Uttrycks som decimaltal med 2 decimaler</t>
  </si>
  <si>
    <t>Andel tjur av vuxna</t>
  </si>
  <si>
    <t>Uttrycks som ett heltal i %</t>
  </si>
  <si>
    <t xml:space="preserve">2.1.3 Spillningsinventering </t>
  </si>
  <si>
    <t>http://www.slu.se/PageFiles/33707/2011/FaktaSkog_12_2011.pdf</t>
  </si>
  <si>
    <t>Antal provytor</t>
  </si>
  <si>
    <t>Antal provytor i inventeringen</t>
  </si>
  <si>
    <t>Antal dagar i inventeringsperiod</t>
  </si>
  <si>
    <t>Från rensningsdatum eller bedömt lövfällningsdatum till inventeringsdatum</t>
  </si>
  <si>
    <t>Antal funna spillningshögar</t>
  </si>
  <si>
    <t>Antal funna spillningshögar i inventeringen</t>
  </si>
  <si>
    <t>Spillningshögar per älg och dygn</t>
  </si>
  <si>
    <t>Antal spillningshögar per älg och dygn</t>
  </si>
  <si>
    <t>Antal högar per ruta (täthetsindex)</t>
  </si>
  <si>
    <t>Medelantal spillningshögar per provyta</t>
  </si>
  <si>
    <t>Vinterstam i antal/1000 ha (max)</t>
  </si>
  <si>
    <t>Skattning av älgtäthet i absoluta tal. Ifylls  om konfidensintervallet för inventeringen har beräknats (max i konfidensintervallet)</t>
  </si>
  <si>
    <t>Vinterstam i antal/1000 ha (min)</t>
  </si>
  <si>
    <t>Skattning av älgtäthet i absoluta tal.  Ifylls om konfidensintervallet för inventeringen har beräknats (min i konfidensintervallet)</t>
  </si>
  <si>
    <t>Vinterstam i antal/1000 ha (medel)</t>
  </si>
  <si>
    <t xml:space="preserve">Skattning av älgtäthet i absoluta tal </t>
  </si>
  <si>
    <t>Skattning av älgtäthet i absoluta tal. Ifylls om underlag för rad 95-98 skanas eller om kofidensintervallet för inventeringen har beräknats (medeltal i konfidensintervallet).</t>
  </si>
  <si>
    <r>
      <rPr>
        <b/>
        <sz val="18"/>
        <color theme="1"/>
        <rFont val="Calibri"/>
        <family val="2"/>
      </rPr>
      <t xml:space="preserve">2. NULÄGESBESKRIVNINGAR </t>
    </r>
    <r>
      <rPr>
        <b/>
        <sz val="14"/>
        <color theme="1"/>
        <rFont val="Calibri"/>
        <family val="2"/>
      </rPr>
      <t>forts.</t>
    </r>
  </si>
  <si>
    <t>2.1.4 Kalvvikter - vikt utan huvud, hud, skankar och inälvor före skottrensning</t>
  </si>
  <si>
    <t xml:space="preserve">Medelslaktvikten för samtliga fällda och vägda älgkalvar inom ÄSO från de senaste tre åren.  </t>
  </si>
  <si>
    <t>http://www.slu.se/PageFiles/33707/2011/FaktaSkog_13_2011.pdf</t>
  </si>
  <si>
    <t>Antal vägda kalvar</t>
  </si>
  <si>
    <t>Slaktvikt kg septemberjakt (vägda)</t>
  </si>
  <si>
    <t>Medelvikter för alla vägda kalvar skjutna under septemberjakten</t>
  </si>
  <si>
    <t>Slaktvikt kg oktoberjakt (vägda)</t>
  </si>
  <si>
    <t>Medelvikter för alla vägda kalvar skjutna från och med oktober</t>
  </si>
  <si>
    <t>Slaktvikt kg medel (vägda)</t>
  </si>
  <si>
    <t>Medelvikter för alla vägda kalvar, såväl tjurkalvar som kvigkalvar</t>
  </si>
  <si>
    <t>2.1.5 Vuxna vikter - vikt utan huvud, hud, skankar och inälvor före skottrensning</t>
  </si>
  <si>
    <t>Data hämtas från Viltdata eller Jaktrapport, beroende på vad äsot använder</t>
  </si>
  <si>
    <t xml:space="preserve">Medelslaktvikten för samtliga fällda och vägda vuxna älgar inom äso från de senaste tre åren.  </t>
  </si>
  <si>
    <t>Slaktvikt kg (vägda) kor</t>
  </si>
  <si>
    <t>Medelvikter för alla vägda vuxna tjurar</t>
  </si>
  <si>
    <t>Slaktvikt kg (vägda) tjurar</t>
  </si>
  <si>
    <t>Medelvikter för alla vägda vuxna kor</t>
  </si>
  <si>
    <t>2.1.6 Medelålder</t>
  </si>
  <si>
    <t xml:space="preserve">Medelålder för samtliga fällda och tandsnittade vuxna älgar inom äso från de senaste tre åren.  </t>
  </si>
  <si>
    <t>Medelålder år (tandsnitt) kor</t>
  </si>
  <si>
    <t>Medelålder för alla tandsnittade vuxna kor</t>
  </si>
  <si>
    <t>Medelålder år (tandsnitt) tjurar</t>
  </si>
  <si>
    <t>Medelålder för alla tandsnittade vuxna tjurar</t>
  </si>
  <si>
    <t>2.1.7 Reproduktion</t>
  </si>
  <si>
    <t xml:space="preserve">Antal utstötta ägg per hondjur från livmoderundersökningar inom äso från de senaste tre åren.  </t>
  </si>
  <si>
    <t>Antal utstötta ägg per hondjur och år från livmoderundersökningar inom äso</t>
  </si>
  <si>
    <t>Ägg per hondjur (livmoderanalys)</t>
  </si>
  <si>
    <t xml:space="preserve">2.1.8 Flyginventering </t>
  </si>
  <si>
    <t>http://www.slu.se/PageFiles/33707/2011/FaktaSkog_14_2011.pdf</t>
  </si>
  <si>
    <t>Årtal för inventeringen</t>
  </si>
  <si>
    <t>Ange antal enligt skattningen</t>
  </si>
  <si>
    <t>Summerad skattning av stammens numerär</t>
  </si>
  <si>
    <t xml:space="preserve">2.1.9 Bedömning av den nuvarande älgstammen inom älgskötselområdet </t>
  </si>
  <si>
    <t>Antal de senaste 3 åren</t>
  </si>
  <si>
    <t>Ökat</t>
  </si>
  <si>
    <t>Minskat</t>
  </si>
  <si>
    <t>Älgstammen har</t>
  </si>
  <si>
    <t>Bästa bedömning utifrån tillgängliga underlag såsom älgobs, spillningsinventering och avskjutning</t>
  </si>
  <si>
    <t>Vinterstam, älg/1000 ha</t>
  </si>
  <si>
    <t>Bästa bedömning utifrån tillgängligt underlag. Ange med en decimal.</t>
  </si>
  <si>
    <t xml:space="preserve">Bedömd sammansättning andel vid periodens start </t>
  </si>
  <si>
    <t>Bedömd fördelning</t>
  </si>
  <si>
    <t>Beräknad fördelning</t>
  </si>
  <si>
    <t>Antal älgar</t>
  </si>
  <si>
    <t>Antal älgar/1000 ha</t>
  </si>
  <si>
    <t>Beräknad fördelning baseras på områdets historiska data.</t>
  </si>
  <si>
    <t>Ko/kviga</t>
  </si>
  <si>
    <t>Summa</t>
  </si>
  <si>
    <t>Kvalitet de senaste 3 åren</t>
  </si>
  <si>
    <t>Tjurandelen</t>
  </si>
  <si>
    <t>Bästa bedömning utifrån tillgängligt underlag. Markera med kryss.</t>
  </si>
  <si>
    <t>Medelåldern</t>
  </si>
  <si>
    <t>Kalvvikterna</t>
  </si>
  <si>
    <t>Reproduktionen</t>
  </si>
  <si>
    <t>Ovanstående bedömning stöds av</t>
  </si>
  <si>
    <t>Älgobs</t>
  </si>
  <si>
    <t>Spillningsinventering</t>
  </si>
  <si>
    <t>Utförd år:</t>
  </si>
  <si>
    <t>Flyginventering</t>
  </si>
  <si>
    <t>Typ:</t>
  </si>
  <si>
    <t>Anges om utförd och vilken metod som i så fall använts (ex distance sampling)</t>
  </si>
  <si>
    <t>Annat</t>
  </si>
  <si>
    <r>
      <rPr>
        <b/>
        <sz val="18"/>
        <color theme="1"/>
        <rFont val="Calibri"/>
        <family val="2"/>
      </rPr>
      <t xml:space="preserve">2. NULÄGESBESKRIVNINGAR </t>
    </r>
    <r>
      <rPr>
        <b/>
        <sz val="14"/>
        <color theme="1"/>
        <rFont val="Calibri"/>
        <family val="2"/>
      </rPr>
      <t>forts.</t>
    </r>
  </si>
  <si>
    <t xml:space="preserve">2.2 Inventeringar av skogstillståndet inom älgskötselområdet </t>
  </si>
  <si>
    <t>Uppgifter om skogstillståndet och redovisning av inventeringar enligt föreslagna kvalitetssäkrade metoder.</t>
  </si>
  <si>
    <r>
      <rPr>
        <i/>
        <sz val="14"/>
        <color theme="1"/>
        <rFont val="Calibri"/>
        <family val="2"/>
      </rPr>
      <t xml:space="preserve">2.2.1 Fodertillgång och skadeläge på skog enligt Skogsstyrelsens foderprognoser och Äbin inom </t>
    </r>
    <r>
      <rPr>
        <b/>
        <i/>
        <u/>
        <sz val="14"/>
        <color theme="1"/>
        <rFont val="Calibri"/>
        <family val="2"/>
      </rPr>
      <t>ÄFOt</t>
    </r>
  </si>
  <si>
    <t>Fodertillgång och prognos</t>
  </si>
  <si>
    <t>http://www.skogsstyrelsen.se/foderprognoser</t>
  </si>
  <si>
    <t>Areal ungskog</t>
  </si>
  <si>
    <t>Total ungskogsareal i ÄFO enligt Skogsstyrelsens foderprognos, uttryckt i hektar.</t>
  </si>
  <si>
    <t>RASE (rönn, asp, sälg, ek), andel ytor med förekomst</t>
  </si>
  <si>
    <t>Andel ytor av totalt inventerade ytor där någon RASE förekommer</t>
  </si>
  <si>
    <t>Utveckling kommande 5 åren</t>
  </si>
  <si>
    <t>Ökande</t>
  </si>
  <si>
    <t>Minskande</t>
  </si>
  <si>
    <t>Areal tallfoder</t>
  </si>
  <si>
    <t>Markera med kryss om särskild kunskap avseende tallfoderutvecklingen finns.</t>
  </si>
  <si>
    <t>Övriga uppgifter om skogstillståndet enligt Äbin</t>
  </si>
  <si>
    <t>http://www.skogsstyrelsen.se/Global/myndigheten/Skog%20och%20miljo/Skog-jakt-vilt/%c3%84bin%20Manual%20(version1.0).pdf</t>
  </si>
  <si>
    <t>Färska viltbetesskador, välj trädslag:</t>
  </si>
  <si>
    <t>Uttrycks i % med heltal</t>
  </si>
  <si>
    <t>Utökad info, välj i lista:</t>
  </si>
  <si>
    <t>Ange i lämplig enhet</t>
  </si>
  <si>
    <t>2.2.2 Bedömt betetryck i avsaknad av Äbin eller som komplettering till Äbin</t>
  </si>
  <si>
    <t>För</t>
  </si>
  <si>
    <t>Tolerabla</t>
  </si>
  <si>
    <t>För omfattande</t>
  </si>
  <si>
    <t>Tall</t>
  </si>
  <si>
    <t>Markera bedömt nuläge med kryss.</t>
  </si>
  <si>
    <t>Gran</t>
  </si>
  <si>
    <t>RASE, välj alternativ i lista</t>
  </si>
  <si>
    <t>Omhändertas istället av:</t>
  </si>
  <si>
    <t>Välj alternativ i lista utifrån gruppens bedömning</t>
  </si>
  <si>
    <t>Bedömningen grundar sig på</t>
  </si>
  <si>
    <t xml:space="preserve">2.3 Redovisning av skador på gröda </t>
  </si>
  <si>
    <t>Omfattning</t>
  </si>
  <si>
    <t>Markera med kryss</t>
  </si>
  <si>
    <t>Redogörelse för typ av skador och var skadorna har förekommit.</t>
  </si>
  <si>
    <t xml:space="preserve">2.4 Redovisning av rapporterade viltolyckor med älg </t>
  </si>
  <si>
    <t xml:space="preserve">Vilttrafikolyckorna med älg de senaste 3 åren </t>
  </si>
  <si>
    <t>Data hämtas från Älgportalens databas?</t>
  </si>
  <si>
    <t>Älgolyckor inom ÄSO, antal</t>
  </si>
  <si>
    <t>Antal trafikolyckor med älg inom ÄSO om uppgift finns</t>
  </si>
  <si>
    <t>Tjur, trafikdödad</t>
  </si>
  <si>
    <t>Antal trafikdödade älgar inom ÄSO om uppgift finns</t>
  </si>
  <si>
    <t>Hondjur, trafikdödad</t>
  </si>
  <si>
    <t>Kalv, trafikdödad</t>
  </si>
  <si>
    <t>Okänd, trafikdödad</t>
  </si>
  <si>
    <t>Summa trafikdödade älgar</t>
  </si>
  <si>
    <t>Automatisk summering av trafikdödade älgar inom ÄSO</t>
  </si>
  <si>
    <r>
      <rPr>
        <b/>
        <sz val="18"/>
        <color theme="1"/>
        <rFont val="Calibri"/>
        <family val="2"/>
      </rPr>
      <t xml:space="preserve">2. NULÄGESBESKRIVNINGAR </t>
    </r>
    <r>
      <rPr>
        <b/>
        <sz val="14"/>
        <color theme="1"/>
        <rFont val="Calibri"/>
        <family val="2"/>
      </rPr>
      <t>forts.</t>
    </r>
  </si>
  <si>
    <t>2.5 Övrig dödlighet</t>
  </si>
  <si>
    <t>Ange antal inom ÄSO om uppgift finns</t>
  </si>
  <si>
    <t>Okänd</t>
  </si>
  <si>
    <t>Automatisk summering av övriga döda älgar inom ÄSO</t>
  </si>
  <si>
    <t xml:space="preserve">2.6 Redovisning av rovdjursförekomst och predationstryck </t>
  </si>
  <si>
    <t xml:space="preserve">Predation inom ÄSO </t>
  </si>
  <si>
    <t>Vargrevir</t>
  </si>
  <si>
    <t>% av reviret som berör ÄSO</t>
  </si>
  <si>
    <t>Predation i reviret antal</t>
  </si>
  <si>
    <t>Predation vuxen älg</t>
  </si>
  <si>
    <t>Predation kalv</t>
  </si>
  <si>
    <t>Revirets predation i ÄSOt</t>
  </si>
  <si>
    <t>Predation/ 1000 ha</t>
  </si>
  <si>
    <t>Ange revirets namn, andel som berör ÄSOt samt bedömd predation av antal älgar i hela reviret</t>
  </si>
  <si>
    <t>Summa:</t>
  </si>
  <si>
    <t>Summa vargpredation inom ÄSOt</t>
  </si>
  <si>
    <t>Björntäthet per 100 000 ha</t>
  </si>
  <si>
    <t>Antal björnar inom ÄSO</t>
  </si>
  <si>
    <t>Predation per vuxen björn</t>
  </si>
  <si>
    <t>Björnens predation i ÄSOt</t>
  </si>
  <si>
    <t>Ange bedömd björntäthet per 100 000 ha samt bedömd predation per vuxen björn</t>
  </si>
  <si>
    <t>S:a predation:</t>
  </si>
  <si>
    <t>Summa varg- och björnpredation inom ÄSOt</t>
  </si>
  <si>
    <t>Förutsättningar för ovanstående:</t>
  </si>
  <si>
    <t>Vargpredationen bör beräknas till 100-140 älgar/revir. I beräkningen utgörs predationen av 82% kalv och 18% vuxna.</t>
  </si>
  <si>
    <t>Björnpredationen bör beräknas till ca 7 älgar per vuxen björn. I beräkningen utgörs predationen av 93% kalv och 7% vuxna.</t>
  </si>
  <si>
    <t>Andelen vuxen björn utgör 50% i beräkningen.</t>
  </si>
  <si>
    <t>3. SAMMANFATTNING MÅL OCH NULÄGE</t>
  </si>
  <si>
    <t>Mål</t>
  </si>
  <si>
    <t>Nuläge</t>
  </si>
  <si>
    <t>Trend</t>
  </si>
  <si>
    <t>Åtgärdsförslag</t>
  </si>
  <si>
    <t>Ange främst trender avseende senaste årens data för respektive rad genom att välja ett alternativ i listan.</t>
  </si>
  <si>
    <t>Vinterstam, älgar per 1000ha registrerad jaktareal</t>
  </si>
  <si>
    <r>
      <rPr>
        <i/>
        <sz val="11"/>
        <color theme="1"/>
        <rFont val="Calibri"/>
        <family val="2"/>
      </rPr>
      <t>Mål = slutmål för</t>
    </r>
    <r>
      <rPr>
        <i/>
        <u/>
        <sz val="11"/>
        <color theme="1"/>
        <rFont val="Calibri"/>
        <family val="2"/>
      </rPr>
      <t xml:space="preserve"> planperioden</t>
    </r>
    <r>
      <rPr>
        <i/>
        <sz val="11"/>
        <color theme="1"/>
        <rFont val="Calibri"/>
        <family val="2"/>
      </rPr>
      <t>, nuläge från förra året.</t>
    </r>
  </si>
  <si>
    <t>Vinterstam, antal älgar totalt inom ÄSO</t>
  </si>
  <si>
    <t>Mål = slutmål för planperioden, nuläge från förra året. Uttrycks i antal älgar totalt inom ÄSO.</t>
  </si>
  <si>
    <t>Andel tjur av vuxna i älgobs</t>
  </si>
  <si>
    <t>Nuläge = medelvärde för senaste tre åren</t>
  </si>
  <si>
    <t>Antal kalvar per hondjur i älgobs</t>
  </si>
  <si>
    <t>Kalvandel i avskjutning</t>
  </si>
  <si>
    <t>Färska skador tallar/produktionstammar, max</t>
  </si>
  <si>
    <t>Uttrycks främst som trend, nuläge = medelvärde för senaste tre åren</t>
  </si>
  <si>
    <t>Nuläge hämtas från tabell under avsnitt 2.2.1 om värde finns</t>
  </si>
  <si>
    <t>Fodersituation enligt foderprognos</t>
  </si>
  <si>
    <t>Uttrycks som trend och/eller i antal älgar i vinterstam per 1000 ha ungskog</t>
  </si>
  <si>
    <t>Älgolyckor inom ÄSO, antal totalt</t>
  </si>
  <si>
    <t>Nuläge = förra årets värde</t>
  </si>
  <si>
    <t>Övrig dödlighet, antal älgar inom ÄSO</t>
  </si>
  <si>
    <t>Predation, antal älgar inom ÄSO</t>
  </si>
  <si>
    <t>4. HANDLINGSPLAN FRÅN NULÄGE TILL MÅLUPPFYLLNAD</t>
  </si>
  <si>
    <t xml:space="preserve">4.1 Avskjutning för älgskötselområdet </t>
  </si>
  <si>
    <t>Avskjutning baseras på:</t>
  </si>
  <si>
    <t>Ange om avskjutningsplanen baseras på beräkningsmodellen eller eget förslag.</t>
  </si>
  <si>
    <t>Avskjutning tjurar enligt vald beräkningsmodell alternativt eget förslag</t>
  </si>
  <si>
    <t>Avskjutning hondjur enligt vald beräkningsmodell alternativt eget förslag</t>
  </si>
  <si>
    <t>Avskjutning kalvar enligt vald beräkningsmodell alternativt eget förslag</t>
  </si>
  <si>
    <t>Antal älgar totalt</t>
  </si>
  <si>
    <t>Summa avskjutning enligt vald beräkningsmodell alternativt eget förslag</t>
  </si>
  <si>
    <t>Andel tjur av vuxna (%)</t>
  </si>
  <si>
    <t>Andel tjurar i avskjutning enligt vald beräkningsmodell alternativt eget förslag</t>
  </si>
  <si>
    <t>Andel kalv av total avskjutning (%)</t>
  </si>
  <si>
    <t>Andel kalvar i avskjutning enligt vald beräkningsmodell alternativt eget förslag</t>
  </si>
  <si>
    <t>Aktuell areal respektive år, krävs för korrekt beräkning om arealändringar skett</t>
  </si>
  <si>
    <t>Total avskjutning uttryckt i älgar per 1000 hektar</t>
  </si>
  <si>
    <t>Motivering för avvikelse jämfört med beräkningsmodellens förslag</t>
  </si>
  <si>
    <t xml:space="preserve">4.2 Planerade inventeringar </t>
  </si>
  <si>
    <t>Äbin</t>
  </si>
  <si>
    <t>Markera med kryss om inventering ska genomföras</t>
  </si>
  <si>
    <t>Avskjutningsstatistik</t>
  </si>
  <si>
    <t>Markera med kryss om information ska inhämtas och användas i förvaltningen</t>
  </si>
  <si>
    <t>Kalvvikter</t>
  </si>
  <si>
    <t>Foderprognoser</t>
  </si>
  <si>
    <t>Kommentarer</t>
  </si>
  <si>
    <t>5. ÖVRIGT</t>
  </si>
  <si>
    <t>5.1 Redogörelse för samråd och förankringsprocessen inom äso.</t>
  </si>
  <si>
    <t>Denna älgskötselplan har utformats i samråd med berörda fastighetsägare och jakträttshavare.</t>
  </si>
  <si>
    <t>Underskrift av företrädaren för ÄSOt</t>
  </si>
  <si>
    <t>Företrädare för älgskötselområdet</t>
  </si>
  <si>
    <t>Namnförtydligande</t>
  </si>
  <si>
    <t>Datum:</t>
  </si>
  <si>
    <t>Älgskötselplanen tillstyrks av älgförvaltningsgruppen</t>
  </si>
  <si>
    <t>Älgskötselplanen tillstyrks inte av älgförvaltningsgruppen</t>
  </si>
  <si>
    <t>Underskrift av ordförande för ÄFOt</t>
  </si>
  <si>
    <t>För älgförvaltningsgruppen</t>
  </si>
  <si>
    <t>Kan även anges i separat bilaga</t>
  </si>
  <si>
    <t>Motivering eller avvikande mening</t>
  </si>
  <si>
    <t>5.2 Bilagor</t>
  </si>
  <si>
    <t>Komplettera med bilagor som använts som inventeringsunderlag/rapporter och beräkningsunderlag (Älfrode-bifoga samtliga sidor)</t>
  </si>
  <si>
    <t>Namn_ASO</t>
  </si>
  <si>
    <t>Typ_Plan_Ny</t>
  </si>
  <si>
    <t>Typ_Plan_Rev</t>
  </si>
  <si>
    <t>Typ_Plan_Rev_Avsk</t>
  </si>
  <si>
    <t>Diarie_Nytt</t>
  </si>
  <si>
    <t>Diarie_Bef</t>
  </si>
  <si>
    <t>Diarie_Bef_Nr</t>
  </si>
  <si>
    <t>Ver_dat</t>
  </si>
  <si>
    <t>AFO_Nr</t>
  </si>
  <si>
    <t>AFO_namn</t>
  </si>
  <si>
    <t>LST_Nr</t>
  </si>
  <si>
    <t>Foretr_Fnamn</t>
  </si>
  <si>
    <t>Foretr_Enamn</t>
  </si>
  <si>
    <t>Foretr_Adr</t>
  </si>
  <si>
    <t>Foretr_Postadr</t>
  </si>
  <si>
    <t>Foretr_Tel1</t>
  </si>
  <si>
    <t>Foretr_Tel2</t>
  </si>
  <si>
    <t>Foretr_Epost</t>
  </si>
  <si>
    <t>Kont_Reg</t>
  </si>
  <si>
    <t>Kont_Ny</t>
  </si>
  <si>
    <t>Kont_andrad</t>
  </si>
  <si>
    <t>Roll_Ordf</t>
  </si>
  <si>
    <t>Roll_Sekr</t>
  </si>
  <si>
    <t>Roll_Annan</t>
  </si>
  <si>
    <t>Namn_Annan</t>
  </si>
  <si>
    <t>Fodelsedat</t>
  </si>
  <si>
    <t>Start_period</t>
  </si>
  <si>
    <t>Slut_period</t>
  </si>
  <si>
    <t>Reviderad_datum</t>
  </si>
  <si>
    <t>Reviderad_orsak</t>
  </si>
  <si>
    <t>Lan</t>
  </si>
  <si>
    <t>Lan_nr</t>
  </si>
  <si>
    <t>AFO_nr</t>
  </si>
  <si>
    <t>Fastst_LST</t>
  </si>
  <si>
    <t>Utv_antal_oka</t>
  </si>
  <si>
    <t>Utv_antal_ofor</t>
  </si>
  <si>
    <t>Utv_antal_minska</t>
  </si>
  <si>
    <t>Mal_vinterstam_ar_1</t>
  </si>
  <si>
    <t>Mal_vinterstam_ar_2</t>
  </si>
  <si>
    <t>Mal_vinterstam_ar_3</t>
  </si>
  <si>
    <t>Obs_tjur</t>
  </si>
  <si>
    <t>Obs_kalv_p_ko</t>
  </si>
  <si>
    <t>Mal_avsk_kalv_pr</t>
  </si>
  <si>
    <t>Mal_sl_vikt_kalv</t>
  </si>
  <si>
    <t>Stammar_andel_skada</t>
  </si>
  <si>
    <t>Stammar_varde_andel</t>
  </si>
  <si>
    <t>Stammar_antal_skada</t>
  </si>
  <si>
    <t>Stammar_varde_antal</t>
  </si>
  <si>
    <t>Stammar_max_skada</t>
  </si>
  <si>
    <t>Stammar_varde_max</t>
  </si>
  <si>
    <t>Avskj_tjur_2011</t>
  </si>
  <si>
    <t>Avskj_ko_2011</t>
  </si>
  <si>
    <t>Avskj_kalv_2011</t>
  </si>
  <si>
    <t>Areal_2011</t>
  </si>
  <si>
    <t>Obs_tim_sum_2010</t>
  </si>
  <si>
    <t>Obs_tim_sum_2011</t>
  </si>
  <si>
    <t>Obs_mantim_2010</t>
  </si>
  <si>
    <t>Obs_mantim_2011</t>
  </si>
  <si>
    <t>Obs_kalv_ko_2010</t>
  </si>
  <si>
    <t>Obs_kalv_ko_2011</t>
  </si>
  <si>
    <t>Tjur_vux_2010</t>
  </si>
  <si>
    <t>Tjur_vux_2011</t>
  </si>
  <si>
    <t>Sp_inv_ytor_2009</t>
  </si>
  <si>
    <t>Sp_inv_ytor_2010</t>
  </si>
  <si>
    <t>Sp_inv_ytor_2011</t>
  </si>
  <si>
    <t>Sp_inv_ytor_2012</t>
  </si>
  <si>
    <t>Sp_inv_ytor_2013</t>
  </si>
  <si>
    <t>Sp_inv_ytor_2014</t>
  </si>
  <si>
    <t>Sp_dagar_period_2009</t>
  </si>
  <si>
    <t>Sp_dagar_period_2010</t>
  </si>
  <si>
    <t>Sp_dagar_period_2011</t>
  </si>
  <si>
    <t>Sp_dagar_period_2012</t>
  </si>
  <si>
    <t>Sp_dagar_period_2013</t>
  </si>
  <si>
    <t>Sp_dagar_period_2014</t>
  </si>
  <si>
    <t>SP_spilln_st_2009</t>
  </si>
  <si>
    <t>SP_spilln_st_2010</t>
  </si>
  <si>
    <t>SP_spilln_st_2011</t>
  </si>
  <si>
    <t>SP_spilln_st_2012</t>
  </si>
  <si>
    <t>SP_spilln_st_2013</t>
  </si>
  <si>
    <t>SP_spilln_st_2014</t>
  </si>
  <si>
    <t>Sp_spilln_dygn_2009</t>
  </si>
  <si>
    <t>Sp_spilln_dygn_2010</t>
  </si>
  <si>
    <t>Sp_spilln_dygn_2011</t>
  </si>
  <si>
    <t>Sp_spilln_dygn_2012</t>
  </si>
  <si>
    <t>Sp_spilln_dygn_2013</t>
  </si>
  <si>
    <t>Sp_spilln_dygn_2014</t>
  </si>
  <si>
    <t>Kalvvikt_sep_2009</t>
  </si>
  <si>
    <t>Kalvvikt_sep_2010</t>
  </si>
  <si>
    <t>Kalvvikt_sep_2011</t>
  </si>
  <si>
    <t>Kalvvikt_sep_2012</t>
  </si>
  <si>
    <t>Kalvvikt_sep_2013</t>
  </si>
  <si>
    <t>Kalvvikt_okt_2009</t>
  </si>
  <si>
    <t>Kalvvikt_okt_2010</t>
  </si>
  <si>
    <t>Kalvvikt_okt_2011</t>
  </si>
  <si>
    <t>Kalvvikt_okt_2012</t>
  </si>
  <si>
    <t>Kalvvikt_okt_2013</t>
  </si>
  <si>
    <t>Kalvvikt_tot_2009</t>
  </si>
  <si>
    <t>Kalvvikt_tot_2010</t>
  </si>
  <si>
    <t>Kalvvikt_tot_2011</t>
  </si>
  <si>
    <t>Kalvvikt_tot_2012</t>
  </si>
  <si>
    <t>Kalvvikt_tot_2013</t>
  </si>
  <si>
    <t>Medelalder_ko_tot_2009</t>
  </si>
  <si>
    <t>Medelalder_ko_tot_2010</t>
  </si>
  <si>
    <t>Medelalder_ko_tot_2011</t>
  </si>
  <si>
    <t>Medelalder_ko_tot_2012</t>
  </si>
  <si>
    <t>Medelalder_ko_tot_2013</t>
  </si>
  <si>
    <t>Medelalder_tjur_tot_2009</t>
  </si>
  <si>
    <t>Medelalder_tjur_tot_2010</t>
  </si>
  <si>
    <t>Medelalder_tjur_tot_2011</t>
  </si>
  <si>
    <t>Medelalder_tjur_tot_2012</t>
  </si>
  <si>
    <t>Medelalder_tjur_tot_2013</t>
  </si>
  <si>
    <t>Repr_ko_ko_tot_2009</t>
  </si>
  <si>
    <t>Repr_ko_ko_tot_2010</t>
  </si>
  <si>
    <t>Repr_ko_ko_tot_2011</t>
  </si>
  <si>
    <t>Repr_ko_ko_tot_2012</t>
  </si>
  <si>
    <t>Repr_ko_ko_tot_2013</t>
  </si>
  <si>
    <t>Flyginv_ar_1</t>
  </si>
  <si>
    <t>Flyginv_ar_2</t>
  </si>
  <si>
    <t>Flyginv_ar_3</t>
  </si>
  <si>
    <t>Flyginv_tjur_ar_1</t>
  </si>
  <si>
    <t>Flyginv_tjur_ar_2</t>
  </si>
  <si>
    <t>Flyginv_tjur_ar_3</t>
  </si>
  <si>
    <t>Flyginv_ko_ar_1</t>
  </si>
  <si>
    <t>Flyginv_ko_ar_2</t>
  </si>
  <si>
    <t>Flyginv_ko_ar_3</t>
  </si>
  <si>
    <t>Flyginv_kalv_ar_1</t>
  </si>
  <si>
    <t>Flyginv_kalv_ar_2</t>
  </si>
  <si>
    <t>Flyginv_kalv_ar_3</t>
  </si>
  <si>
    <t>Flyginv_sum_ar_1</t>
  </si>
  <si>
    <t>Flyginv_sum_ar_2</t>
  </si>
  <si>
    <t>Flyginv_sum_ar_3</t>
  </si>
  <si>
    <t>Stam_sen_3_ar_okat</t>
  </si>
  <si>
    <t>Stam_sen_3_ar_oforadrad</t>
  </si>
  <si>
    <t>Stam_sen_3_ar_minskat</t>
  </si>
  <si>
    <t>Vinterst_ar_-5</t>
  </si>
  <si>
    <t>Vinterst_ar_-4</t>
  </si>
  <si>
    <t>Vinterst_ar_-3</t>
  </si>
  <si>
    <t>Vinterst_ar_-2</t>
  </si>
  <si>
    <t>Vinterst_ar_-1</t>
  </si>
  <si>
    <t>Tjurandel_3_ar_minskat</t>
  </si>
  <si>
    <t>Tjurandel_3_ar_oforadrad</t>
  </si>
  <si>
    <t>Tjurandel_3_ar_okat</t>
  </si>
  <si>
    <t>Medelalder_3_ar_minskat</t>
  </si>
  <si>
    <t>Medelalder_3_ar_oforandrad</t>
  </si>
  <si>
    <t>Medelalder_3_ar_okat</t>
  </si>
  <si>
    <t>Reprodukton_3_ar_minskat</t>
  </si>
  <si>
    <t>Reprodukton_3_ar_oforandrad</t>
  </si>
  <si>
    <t>Reprodukton_3_ar_okat</t>
  </si>
  <si>
    <t>Kalvvikt_3_ar_minskat</t>
  </si>
  <si>
    <t>Kalvvikt_3_ar_oforandrad</t>
  </si>
  <si>
    <t>Kalvvikt_3_ar_okat</t>
  </si>
  <si>
    <t>Bed_älgobs</t>
  </si>
  <si>
    <t>Bed_Sp_inv</t>
  </si>
  <si>
    <t>Sp_inv_utf_ar</t>
  </si>
  <si>
    <t>Bed_flyg_inv</t>
  </si>
  <si>
    <t>Flyg_inv_utf_ar</t>
  </si>
  <si>
    <t>Flyg_inv_typ</t>
  </si>
  <si>
    <t>Bed_annat_inv</t>
  </si>
  <si>
    <t>Foderpr_ar_-3</t>
  </si>
  <si>
    <t>Foderpr_ar_-2</t>
  </si>
  <si>
    <t>Foderpr_ar_-1</t>
  </si>
  <si>
    <t>Foderpr_ar_-0</t>
  </si>
  <si>
    <t>Foderpr_ar_1</t>
  </si>
  <si>
    <t>Foderpr_ar_2</t>
  </si>
  <si>
    <t>Foderpr_ar_3</t>
  </si>
  <si>
    <t>RASE_pr_ar_-2</t>
  </si>
  <si>
    <t>RASE_pr_ar_-1</t>
  </si>
  <si>
    <t>RASE_pr_ar_0</t>
  </si>
  <si>
    <t>Tallf_okat</t>
  </si>
  <si>
    <t>Tallf_oforandrad</t>
  </si>
  <si>
    <t>Tallf_minskat</t>
  </si>
  <si>
    <t>ABIN_val_1</t>
  </si>
  <si>
    <t>ABIN_val_1_ar_-3</t>
  </si>
  <si>
    <t>ABIN_val_1_ar_-2</t>
  </si>
  <si>
    <t>ABIN_val_1_ar_-1</t>
  </si>
  <si>
    <t>ABIN_val_1_ar_0</t>
  </si>
  <si>
    <t>ABIN_val_2</t>
  </si>
  <si>
    <t>ABIN_val_2_ar_-3</t>
  </si>
  <si>
    <t>ABIN_val_2_ar_-2</t>
  </si>
  <si>
    <t>ABIN_val_2_ar_-1</t>
  </si>
  <si>
    <t>ABIN_val_2_ar_0</t>
  </si>
  <si>
    <t>ABIN_val_3</t>
  </si>
  <si>
    <t>ABIN_val_3_ar_-3</t>
  </si>
  <si>
    <t>ABIN_val_3_ar_-2</t>
  </si>
  <si>
    <t>ABIN_val_3_ar_-1</t>
  </si>
  <si>
    <t>ABIN_val_3_ar_0</t>
  </si>
  <si>
    <t>ABIN_val_4</t>
  </si>
  <si>
    <t>ABIN_val_4_ar_-3</t>
  </si>
  <si>
    <t>ABIN_val_4_ar_-2</t>
  </si>
  <si>
    <t>ABIN_val_4_ar_-1</t>
  </si>
  <si>
    <t>ABIN_val_4_ar_0</t>
  </si>
  <si>
    <t>Tolererb_tall</t>
  </si>
  <si>
    <t>Otolererb_tall</t>
  </si>
  <si>
    <t>Tolererb_gran</t>
  </si>
  <si>
    <t>Otolererb_gran</t>
  </si>
  <si>
    <t>RASE_val_ar_-2</t>
  </si>
  <si>
    <t>RASE_val_ar_-1</t>
  </si>
  <si>
    <t>RASE_val_ar_0</t>
  </si>
  <si>
    <t>Bedomning_betestryck</t>
  </si>
  <si>
    <t>Skada_gr_tol</t>
  </si>
  <si>
    <t>Skada_gr_otol</t>
  </si>
  <si>
    <t>Redog_skador_gr</t>
  </si>
  <si>
    <t>Olyckor_ar_-3</t>
  </si>
  <si>
    <t>Olyckor_ar_-2</t>
  </si>
  <si>
    <t>Olyckor_ar_0</t>
  </si>
  <si>
    <t>Trafikd_tjur_ar_-3</t>
  </si>
  <si>
    <t>Trafikd_tjur_ar_-2</t>
  </si>
  <si>
    <t>Trafikd_tjur_ar_-1</t>
  </si>
  <si>
    <t>Trafikd_ko_ar_-3</t>
  </si>
  <si>
    <t>Trafikd_ko_ar_-2</t>
  </si>
  <si>
    <t>Trafikd_ko_ar_-1</t>
  </si>
  <si>
    <t>Trafikd_kalv_ar_-3</t>
  </si>
  <si>
    <t>Trafikd_kalv_ar_-2</t>
  </si>
  <si>
    <t>Trafikd_kalv_ar_-1</t>
  </si>
  <si>
    <t>Ovrd_tjur_ar_-3</t>
  </si>
  <si>
    <t>Ovrd_tjur_ar_-2</t>
  </si>
  <si>
    <t>Ovrd_tjur_ar_-1</t>
  </si>
  <si>
    <t>Ovrd_ko_ar_-3</t>
  </si>
  <si>
    <t>Ovrd_ko_ar_-2</t>
  </si>
  <si>
    <t>Ovrd_ko_ar_-1</t>
  </si>
  <si>
    <t>Ovrd_kalv_ar_-3</t>
  </si>
  <si>
    <t>Ovrd_kalv_ar_-2</t>
  </si>
  <si>
    <t>Ovrd_kalv_ar_-1</t>
  </si>
  <si>
    <t>Vargrevir_1</t>
  </si>
  <si>
    <t>Vargrevir_1_del_AFO</t>
  </si>
  <si>
    <t>Vargrevir_1_predation_antal</t>
  </si>
  <si>
    <t>Vargrevir_2</t>
  </si>
  <si>
    <t>Vargrevir_2_del_AFO</t>
  </si>
  <si>
    <t>Vargrevir_2_predation_antal</t>
  </si>
  <si>
    <t>Vargrevir_3</t>
  </si>
  <si>
    <t>Vargrevir_3_del_AFO</t>
  </si>
  <si>
    <t>Vargrevir_3_predation_antal</t>
  </si>
  <si>
    <t>Vargrevir_4</t>
  </si>
  <si>
    <t>Vargrevir_4_del_AFO</t>
  </si>
  <si>
    <t>Vargrevir_4_predation_antal</t>
  </si>
  <si>
    <t>Vargrevir_5</t>
  </si>
  <si>
    <t>Vargrevir_5_del_AFO</t>
  </si>
  <si>
    <t>Vargrevir_5_predation_antal</t>
  </si>
  <si>
    <t>Bjornt_AFO</t>
  </si>
  <si>
    <t>Pred_per_bjorn</t>
  </si>
  <si>
    <t>Trend_lista_1</t>
  </si>
  <si>
    <t>Trend_lista_2</t>
  </si>
  <si>
    <t>Trend_lista_3</t>
  </si>
  <si>
    <t>Trend_lista_4</t>
  </si>
  <si>
    <t>Trend_lista_5</t>
  </si>
  <si>
    <t>Trend_lista_6</t>
  </si>
  <si>
    <t>Trend_lista_7</t>
  </si>
  <si>
    <t>Trend_lista_8</t>
  </si>
  <si>
    <t>Trend_lista_9</t>
  </si>
  <si>
    <t>Trend_lista_10</t>
  </si>
  <si>
    <t>Trend_lista_11</t>
  </si>
  <si>
    <t>Trend_lista_12</t>
  </si>
  <si>
    <t>Atgard_lista_1</t>
  </si>
  <si>
    <t>Atgard_lista_2</t>
  </si>
  <si>
    <t>Atgard_lista_3</t>
  </si>
  <si>
    <t>Atgard_lista_4</t>
  </si>
  <si>
    <t>Atgard_lista_5</t>
  </si>
  <si>
    <t>Atgard_lista_6</t>
  </si>
  <si>
    <t>Atgard_lista_7</t>
  </si>
  <si>
    <t>Atgard_lista_8</t>
  </si>
  <si>
    <t>Atgard_lista_9</t>
  </si>
  <si>
    <t>Atgard_lista_10</t>
  </si>
  <si>
    <t>Atgard_lista_11</t>
  </si>
  <si>
    <t>Atgard_lista_12</t>
  </si>
  <si>
    <t>Avsk_mal_tjur_ar_1</t>
  </si>
  <si>
    <t>Avsk_mal_tjur_ar_2</t>
  </si>
  <si>
    <t>Avsk_mal_tjur_ar_3</t>
  </si>
  <si>
    <t>Avsk_mal_ko_ar_1</t>
  </si>
  <si>
    <t>Avsk_mal_ko_ar_2</t>
  </si>
  <si>
    <t>Avsk_mal_ko_ar_3</t>
  </si>
  <si>
    <t>Avsk_mal_kalv_ar_1</t>
  </si>
  <si>
    <t>Avsk_mal_kalv_ar_2</t>
  </si>
  <si>
    <t>Avsk_mal_kalv_ar_3</t>
  </si>
  <si>
    <t>Ber_frode</t>
  </si>
  <si>
    <t>Ber_egen</t>
  </si>
  <si>
    <t>Planerad_ABIN_ar_+1</t>
  </si>
  <si>
    <t>Planerad_ABIN_ar_+2</t>
  </si>
  <si>
    <t>Planerad_ABIN_ar_+3</t>
  </si>
  <si>
    <t>Planerad_spillninv_ar_+1</t>
  </si>
  <si>
    <t>Planerad_spillninv_ar_+2</t>
  </si>
  <si>
    <t>Planerad_spillninv_ar_+3</t>
  </si>
  <si>
    <t>Planerad_flyginv_ar_+1</t>
  </si>
  <si>
    <t>Planerad_flyginv_ar_+2</t>
  </si>
  <si>
    <t>Planerad_flyginv_ar_+3</t>
  </si>
  <si>
    <t>Planerad_avskinv_ar_+1</t>
  </si>
  <si>
    <t>Planerad_avskinv_ar_+2</t>
  </si>
  <si>
    <t>Planerad_avskinv_ar_+3</t>
  </si>
  <si>
    <t>Planerad_algobsinv_ar_+1</t>
  </si>
  <si>
    <t>Planerad_algobsinv_ar_+2</t>
  </si>
  <si>
    <t>Planerad_algobsinv_ar_+3</t>
  </si>
  <si>
    <t>Planerad_kalvviktinv_ar_+1</t>
  </si>
  <si>
    <t>Planerad_kalvviktinv_ar_+2</t>
  </si>
  <si>
    <t>Planerad_kalvviktinv_ar_+3</t>
  </si>
  <si>
    <t>Planerad_foderpr_ar_+1</t>
  </si>
  <si>
    <t>Planerad_foderpr_ar_+2</t>
  </si>
  <si>
    <t>Planerad_foderpr_ar_+3</t>
  </si>
  <si>
    <t>Utfall_vinterst_ar_0</t>
  </si>
  <si>
    <t>Utfall_vinterst_ar_1</t>
  </si>
  <si>
    <t>Utfall_vinterst_ar_2</t>
  </si>
  <si>
    <t>tjurandel_tjurandel_ar_0</t>
  </si>
  <si>
    <t>Utfall_tjurandel_ar_1</t>
  </si>
  <si>
    <t>Utfall_tjurandel_ar_2</t>
  </si>
  <si>
    <t>Utfall_repr_ar_0</t>
  </si>
  <si>
    <t>Utfall_repr_ar_1</t>
  </si>
  <si>
    <t>Utfall_repr_ar_2</t>
  </si>
  <si>
    <t>Utfall_kalvandel_ar_0</t>
  </si>
  <si>
    <t>Utfall_kalvandel_ar_1</t>
  </si>
  <si>
    <t>Utfall_kalvandel_ar_2</t>
  </si>
  <si>
    <t>AFP_enh_ant_ja</t>
  </si>
  <si>
    <t>AFP_enh_ant_nej</t>
  </si>
  <si>
    <t>Fullmakt_AFP_ja</t>
  </si>
  <si>
    <t>Fullmakt_AFP_nej</t>
  </si>
  <si>
    <t>Kommentar_1_1</t>
  </si>
  <si>
    <t>Kommentar_2_1_rad_1</t>
  </si>
  <si>
    <t>Kommentar_2_1_rad_2</t>
  </si>
  <si>
    <t>Kommentar_2_1_2_rad_1</t>
  </si>
  <si>
    <t>Kommentar_2_1_2_rad_2</t>
  </si>
  <si>
    <t>Kommentar_2_1_3_rad_1</t>
  </si>
  <si>
    <t>Kommentar_2_1_3_rad_2</t>
  </si>
  <si>
    <t>Kommentar_2_1_4_rad_1</t>
  </si>
  <si>
    <t>Kommentar_2_1_4_rad_2</t>
  </si>
  <si>
    <t>Kommentar_2_1_5_rad_1</t>
  </si>
  <si>
    <t>Kommentar_2_1_5_rad_2</t>
  </si>
  <si>
    <t>Kommentar_2_1_6_rad_1</t>
  </si>
  <si>
    <t>Kommentar_2_1_6_rad_2</t>
  </si>
  <si>
    <t>Kommentar_2_1_7_rad_1</t>
  </si>
  <si>
    <t>Kommentar_2_1_7_rad_2</t>
  </si>
  <si>
    <t>Kommentar_2_1_8_rad_1</t>
  </si>
  <si>
    <t>Kommentar_2_1_8_rad_2</t>
  </si>
  <si>
    <t>Kommentar_2_2_2_rad_1</t>
  </si>
  <si>
    <t>Kommentar_2_2_2_rad_2</t>
  </si>
  <si>
    <t>Kommentar_2_2_2_rad_3</t>
  </si>
  <si>
    <t>Kommentar_2_2_2_rad_4</t>
  </si>
  <si>
    <t>Motivering_4_1_rad_1</t>
  </si>
  <si>
    <t>Motivering_4_1_rad_2</t>
  </si>
  <si>
    <t>Kommentarer_4_3_rad_1</t>
  </si>
  <si>
    <t>Kommentarer_4_3_rad_2</t>
  </si>
  <si>
    <t>Sekr_namn</t>
  </si>
  <si>
    <t>Ordf_namn</t>
  </si>
  <si>
    <t>Tillsyrkt</t>
  </si>
  <si>
    <t>Ej_tillstyrkt</t>
  </si>
  <si>
    <t>Motivering_5_1_rad_1</t>
  </si>
  <si>
    <t>Motivering_5_1_rad_2</t>
  </si>
  <si>
    <t>Motivering_5_1_rad_3</t>
  </si>
  <si>
    <t>Underlag för beräkning av avskjutningen</t>
  </si>
  <si>
    <t>Underlaget hämtas från  punkt nr. i Älgskötselplanen</t>
  </si>
  <si>
    <t>Data från älgskötselplanen</t>
  </si>
  <si>
    <t xml:space="preserve">a. Den totala avskjutningen inom ÄSO på årsbasis </t>
  </si>
  <si>
    <t>Areal (respektive år)</t>
  </si>
  <si>
    <t>Medel 3 år</t>
  </si>
  <si>
    <t>Sammanställning av avskjutningen de senaste tre åren för uppföljning av kvalitetsmålen i punkt 7.</t>
  </si>
  <si>
    <t xml:space="preserve">b Övrig dödlighet inom ÄSO på årsbasis </t>
  </si>
  <si>
    <t>Trafik</t>
  </si>
  <si>
    <t>Predation</t>
  </si>
  <si>
    <t>Övrigt</t>
  </si>
  <si>
    <t>Total övrig dödlighet inom ÄSO:</t>
  </si>
  <si>
    <t>* Baserat på beräknat antal djur i sommarstam</t>
  </si>
  <si>
    <t xml:space="preserve">c Beräkning av täthet, reproduktion och sammansättning inom ÄSO </t>
  </si>
  <si>
    <t>Medel 4 år</t>
  </si>
  <si>
    <t>Obs/mantimme</t>
  </si>
  <si>
    <t>Kalv/hondjur</t>
  </si>
  <si>
    <t>Tjur/vuxna</t>
  </si>
  <si>
    <t>* Om värden saknas för fyra år beräknas medel på antal inventerade år.</t>
  </si>
  <si>
    <t xml:space="preserve">Spillningsinventering </t>
  </si>
  <si>
    <t>Medel 3 senaste år *</t>
  </si>
  <si>
    <t>älg/1000 ha</t>
  </si>
  <si>
    <t>* Om värden saknas för tre år beräknas medel på antal inventerade år.</t>
  </si>
  <si>
    <t xml:space="preserve">Flyginventering </t>
  </si>
  <si>
    <t>Övriga underlag (bifogas):</t>
  </si>
  <si>
    <t>Bedömning av älgstammens täthet</t>
  </si>
  <si>
    <t>Älgskötselområdet bedömmer älgstammens täthet (vinterstam) utifrån tillgängliga data och övriga erfarenheter</t>
  </si>
  <si>
    <t>Bedömd vinterstam</t>
  </si>
  <si>
    <t>Älgar per 1000 ha</t>
  </si>
  <si>
    <t>Motivering till ställningstagande</t>
  </si>
  <si>
    <t>Bedömning av älgstammens reproduktion</t>
  </si>
  <si>
    <t>Älgskötselområdet bedömmer älgstammens reproduktion utifrån tillgängliga data och övriga erfarenheter</t>
  </si>
  <si>
    <t>Bedömd reproduktion Kalvar per hondjur (observerad kalv per vuxet hondjur vid jakt)</t>
  </si>
  <si>
    <t>Kalv per hondjur</t>
  </si>
  <si>
    <t>Bedömning av områdets förväntade utveckling av kalvandelen i älgobsen.</t>
  </si>
  <si>
    <t>Bedömning av älgstammens sammansättning</t>
  </si>
  <si>
    <t>Älgskötselområdet bedömmer älgstammens sammansättning av andel tjur, hondjur och kalv (vinterstam) utifrån tillgängliga data och övriga erfarenheter</t>
  </si>
  <si>
    <t>Sammansättning enligt älgobs (medelvärde senaste 4 åren)</t>
  </si>
  <si>
    <t>Sommarstam</t>
  </si>
  <si>
    <t>Jaktuttag</t>
  </si>
  <si>
    <t>Efter jakt</t>
  </si>
  <si>
    <t>Fördelning vinterstam*</t>
  </si>
  <si>
    <t xml:space="preserve">Beräknar på genomsnittet av de fyra sista årens älgobs med kompensation för det senaste jakårets avskjutning (djur som observerats och fällts under jakten) </t>
  </si>
  <si>
    <t>Avskjutning av vinterstam</t>
  </si>
  <si>
    <t xml:space="preserve">* Beräknad från fördelning i avskjutning,älgobs och bedömd vinterstam </t>
  </si>
  <si>
    <t>Ange faktor för avskjutningen beräknat som andel av vinterstammen</t>
  </si>
  <si>
    <t>Tjuavskj. föregående jakt i ÄSO</t>
  </si>
  <si>
    <t>Hondjursavskj. föreg.  jakt i ÄSO</t>
  </si>
  <si>
    <t>Kalvavskj. föregående jakt i ÄSO</t>
  </si>
  <si>
    <t>Bedömning övrig dödlighet under perioden</t>
  </si>
  <si>
    <t>(förutom rovdjurspredation som redovisas direkt i avskjutningsberäkningen)</t>
  </si>
  <si>
    <t>Areal</t>
  </si>
  <si>
    <t>Antal älgar i vinterstam</t>
  </si>
  <si>
    <t>Faktor för reproduktion</t>
  </si>
  <si>
    <t>Antal älgar i sommarstam</t>
  </si>
  <si>
    <t>Medeltal antal döda älgar per år</t>
  </si>
  <si>
    <t>Dödlighet %</t>
  </si>
  <si>
    <t>Känd övrig dödlighet i populationen baserat på redovisad genomsnittlig dödlighet i skötselplanen.</t>
  </si>
  <si>
    <t>Känd övrig dödlighet</t>
  </si>
  <si>
    <t>Ange faktor för stammens reprodkton uttryckt som utveckling från vinterstam till sommarstam (normala värden 1,3-1,5)</t>
  </si>
  <si>
    <t>Bedömd övrig dödlighet under perioden</t>
  </si>
  <si>
    <t>Övrig dödlighet i populationen. Nomalt hittas inta alla döda djur värdet är därför högre än den kända övriga dödligheten.</t>
  </si>
  <si>
    <t>Avskjutningsberäkning</t>
  </si>
  <si>
    <t>Perioden</t>
  </si>
  <si>
    <t>tom.</t>
  </si>
  <si>
    <t>år</t>
  </si>
  <si>
    <t>Reproduktion</t>
  </si>
  <si>
    <t>Dödlighet</t>
  </si>
  <si>
    <t>ha</t>
  </si>
  <si>
    <t>Vinterstam (efter jakt)</t>
  </si>
  <si>
    <t>älgar/1000 ha</t>
  </si>
  <si>
    <t>Andel tjurkalv</t>
  </si>
  <si>
    <t>Andel tjukalv av födda kalvar, normalt är andelen födda tjurkalvar större än andelen föda kvigkalvar</t>
  </si>
  <si>
    <t>Predation innan jaktstart</t>
  </si>
  <si>
    <t>Kompenation för predationen som sker innan älgobsen genomförs.Älgobsen används för beräkning av reproduktionstalet.</t>
  </si>
  <si>
    <t>Avskjutning</t>
  </si>
  <si>
    <t>Vinterstam</t>
  </si>
  <si>
    <t>Antal</t>
  </si>
  <si>
    <t>Antal/1000 ha</t>
  </si>
  <si>
    <t>Tjur/vux</t>
  </si>
  <si>
    <t>Tjurandel av vux</t>
  </si>
  <si>
    <t>Sammansättning %</t>
  </si>
  <si>
    <t>Tillförsel djur (1 åringar och repr.)</t>
  </si>
  <si>
    <t>Rovdjurspredation</t>
  </si>
  <si>
    <t>Övrig dödlighet</t>
  </si>
  <si>
    <t>Sammanställning</t>
  </si>
  <si>
    <t>GARPENBERGS ÄLGSKÖTSELOMRÅDE</t>
  </si>
  <si>
    <t>Älgskötselplan för perioden (start)</t>
  </si>
  <si>
    <t>Älgskötselplan för perioden (slut)</t>
  </si>
  <si>
    <t>Äso:s registrerade areal i ha</t>
  </si>
  <si>
    <t>Länsstyrelsen  Dalarnas län</t>
  </si>
  <si>
    <t>Tillhör ÄFO</t>
  </si>
  <si>
    <t>Gävle-Dala ÄFO</t>
  </si>
  <si>
    <t>Ansvarig Förnamn</t>
  </si>
  <si>
    <t>Jan</t>
  </si>
  <si>
    <t>Ansvarig Efternamn</t>
  </si>
  <si>
    <t>Henriksson</t>
  </si>
  <si>
    <t>Målsättning - Avskjutning</t>
  </si>
  <si>
    <t>Avskjutning - År</t>
  </si>
  <si>
    <t>Avskjutning - Tjur</t>
  </si>
  <si>
    <t>Avskjutning - Hondjur</t>
  </si>
  <si>
    <t>Avskjutning - Kalv</t>
  </si>
  <si>
    <t>Älgobs - År</t>
  </si>
  <si>
    <t>Älgobs - Antal obstimmar</t>
  </si>
  <si>
    <t>Älgobs - Observationer per mantimme</t>
  </si>
  <si>
    <t>Älgobs - Antal kalvar per hondjur</t>
  </si>
  <si>
    <t>Älgobs - Andel tjur av vuxna</t>
  </si>
  <si>
    <t>Kalvvikter - År</t>
  </si>
  <si>
    <t>Kalvvikter - Slaktvikt i kg septemberjakten (vägda)</t>
  </si>
  <si>
    <t>Kalvvikter - Slaktvikt i kg oktoberjakten (vägda)</t>
  </si>
  <si>
    <t>Kalvvikter - Slaktvikt i kg medel (vägda)</t>
  </si>
  <si>
    <t>Vuxna vikter - kor</t>
  </si>
  <si>
    <t>Vuxna vikter - kor - År</t>
  </si>
  <si>
    <t>Vuxna vikter - kor - Slaktvikt i kg medel (vägda)</t>
  </si>
  <si>
    <t>Vuxna vikter - tjurar</t>
  </si>
  <si>
    <t>Vuxna vikter - tjurar - År</t>
  </si>
  <si>
    <t>Vuxna vikter - tjurar - Slaktvikt i kg medel (vägda)</t>
  </si>
  <si>
    <t>Medelålder</t>
  </si>
  <si>
    <t>Medelålder - År</t>
  </si>
  <si>
    <t>Reproduktion - År</t>
  </si>
  <si>
    <t>2012/2013</t>
  </si>
  <si>
    <t>2013/2014</t>
  </si>
  <si>
    <t>2014/2015</t>
  </si>
  <si>
    <t>2015/2016</t>
  </si>
  <si>
    <t>2016/2017</t>
  </si>
  <si>
    <t>Reproduktion - Ägg per hondjur (livmoderanalys)</t>
  </si>
  <si>
    <t>Skogsdata</t>
  </si>
  <si>
    <t>Fodertillgång och prognos - År</t>
  </si>
  <si>
    <t>Område</t>
  </si>
  <si>
    <t>Beräknas</t>
  </si>
  <si>
    <t>Kommentar</t>
  </si>
  <si>
    <t>Antal högar</t>
  </si>
  <si>
    <t>Antal dagar *</t>
  </si>
  <si>
    <t>Datum invent- ering *</t>
  </si>
  <si>
    <t>Datum rensning (om höst-rensning)</t>
  </si>
  <si>
    <t>Antal provytor beräkning</t>
  </si>
  <si>
    <t>Antal dagar</t>
  </si>
  <si>
    <t>% av tot inventering</t>
  </si>
  <si>
    <t>Täthetsindex (konstant total beräkning)</t>
  </si>
  <si>
    <t>Vinterstam (Konstant total beräkning)</t>
  </si>
  <si>
    <t>Invstart(endast för beräkning)</t>
  </si>
  <si>
    <t>Invdag medel (endast för beräkning)</t>
  </si>
  <si>
    <t>Faktor SANT/FALSKT</t>
  </si>
  <si>
    <t>Fnamn Enamn 1</t>
  </si>
  <si>
    <t>Inventeringsområde 1</t>
  </si>
  <si>
    <t>Fnamn Enamn 2</t>
  </si>
  <si>
    <t>Inventeringsområde 2</t>
  </si>
  <si>
    <t>Fnamn Enamn 3</t>
  </si>
  <si>
    <t>Inventeringsområde 3</t>
  </si>
  <si>
    <t>Fnamn Enamn 4</t>
  </si>
  <si>
    <t>Inventeringsområde 4</t>
  </si>
  <si>
    <t>Fnamn Enamn 5</t>
  </si>
  <si>
    <t>Inventeringsområde 5</t>
  </si>
  <si>
    <t>Fnamn Enamn 6</t>
  </si>
  <si>
    <t>Inventeringsområde 6</t>
  </si>
  <si>
    <t>Fnamn Enamn 7</t>
  </si>
  <si>
    <t>Inventeringsområde 7</t>
  </si>
  <si>
    <t>Fnamn Enamn 8</t>
  </si>
  <si>
    <t>Inventeringsområde 8</t>
  </si>
  <si>
    <t>Fnamn Enamn 9</t>
  </si>
  <si>
    <t>Inventeringsområde 9</t>
  </si>
  <si>
    <t>Fnamn Enamn 10</t>
  </si>
  <si>
    <t>Inventeringsområde 10</t>
  </si>
  <si>
    <t>Inventeingsområden totalt resultat (viktat medelvärde)</t>
  </si>
  <si>
    <t>* ange antingen "Antal dagar" eller "Datum inventering"</t>
  </si>
  <si>
    <t>Område för ifyllning av inventerindsdata eller faktorer</t>
  </si>
  <si>
    <t>Område för beräkningsvärden (ifylls ej)</t>
  </si>
  <si>
    <t>Område med resultat (ifylls ej)</t>
  </si>
  <si>
    <t>Faktorer</t>
  </si>
  <si>
    <t>Inventeringsperiodens start (lövfällningsdatum)</t>
  </si>
  <si>
    <t>Anlys inventeringsperiod (+ eller - antal dagar lövfällning)</t>
  </si>
  <si>
    <t>Defekationshastighet (spillningshögar/dygn)</t>
  </si>
  <si>
    <t>Datum rensning (om höstrensning)</t>
  </si>
  <si>
    <t>Listrutor</t>
  </si>
  <si>
    <t>Trädslagsval</t>
  </si>
  <si>
    <t>Färska skador enl Äbin</t>
  </si>
  <si>
    <t>Övriga uppgifter om skogstillstånd enl Äbin</t>
  </si>
  <si>
    <t>Betestryck RASE</t>
  </si>
  <si>
    <t>Trender</t>
  </si>
  <si>
    <t>Tallar</t>
  </si>
  <si>
    <t>Tallar %</t>
  </si>
  <si>
    <t>RASE, andel ytor med god konkurrensstatus, %</t>
  </si>
  <si>
    <t>Oskadade tallar, antal per hektar</t>
  </si>
  <si>
    <t>Svagt</t>
  </si>
  <si>
    <t>Granar</t>
  </si>
  <si>
    <t>Granar %</t>
  </si>
  <si>
    <t>Försommarbete, färska skador i %</t>
  </si>
  <si>
    <t>Medel</t>
  </si>
  <si>
    <t>Produktionsstammar</t>
  </si>
  <si>
    <t>Produktionsstammar %</t>
  </si>
  <si>
    <t>Ståndortsanpassning, andel ytor med tall på tallmark, %</t>
  </si>
  <si>
    <t>Hårt</t>
  </si>
  <si>
    <t>Föryngringsframgång, %</t>
  </si>
  <si>
    <t>Revidering plan orsak</t>
  </si>
  <si>
    <t>Nytt ÄSO</t>
  </si>
  <si>
    <t>Ändrad omfattning ÄSO</t>
  </si>
  <si>
    <t>Ny planperiod</t>
  </si>
  <si>
    <t>I period pga ändrade förhållanden</t>
  </si>
  <si>
    <t>I period pga ändrad areal</t>
  </si>
  <si>
    <t>Län</t>
  </si>
  <si>
    <t>nr</t>
  </si>
  <si>
    <t>afoLst</t>
  </si>
  <si>
    <t>Valbara nr</t>
  </si>
  <si>
    <t>AfoId</t>
  </si>
  <si>
    <t>AfoNamn</t>
  </si>
  <si>
    <t>AfoBet</t>
  </si>
  <si>
    <t>01</t>
  </si>
  <si>
    <t>Stockholms län</t>
  </si>
  <si>
    <t>Norrtälje Norra</t>
  </si>
  <si>
    <t>01-001</t>
  </si>
  <si>
    <t>03</t>
  </si>
  <si>
    <t>Uppsala län</t>
  </si>
  <si>
    <t>Sigtuna</t>
  </si>
  <si>
    <t>01-002</t>
  </si>
  <si>
    <t>04</t>
  </si>
  <si>
    <t>Södermanlands län</t>
  </si>
  <si>
    <t>Mälaröarna</t>
  </si>
  <si>
    <t>01-003</t>
  </si>
  <si>
    <t>05</t>
  </si>
  <si>
    <t>Östergötlands län</t>
  </si>
  <si>
    <t>Södertörn</t>
  </si>
  <si>
    <t>01-004</t>
  </si>
  <si>
    <t>06</t>
  </si>
  <si>
    <t>Jönköpings län</t>
  </si>
  <si>
    <t>Skärgården</t>
  </si>
  <si>
    <t>01-005</t>
  </si>
  <si>
    <t>07</t>
  </si>
  <si>
    <t>Kronobergs län</t>
  </si>
  <si>
    <t>Vallentuna/Närtuna</t>
  </si>
  <si>
    <t>01-006</t>
  </si>
  <si>
    <t>08</t>
  </si>
  <si>
    <t>Kalmar län</t>
  </si>
  <si>
    <t>Norrtälje Södra</t>
  </si>
  <si>
    <t>01-007</t>
  </si>
  <si>
    <t>10</t>
  </si>
  <si>
    <t>Blekinge län</t>
  </si>
  <si>
    <t>Södertälje</t>
  </si>
  <si>
    <t>01-008</t>
  </si>
  <si>
    <t>12</t>
  </si>
  <si>
    <t>Skåne län</t>
  </si>
  <si>
    <t>Östervåla Älgförvaltningsområde</t>
  </si>
  <si>
    <t>03-001</t>
  </si>
  <si>
    <t>13</t>
  </si>
  <si>
    <t>Hallands län</t>
  </si>
  <si>
    <t>Österbybruks Älgförvaltningsområde</t>
  </si>
  <si>
    <t>03-002</t>
  </si>
  <si>
    <t>14</t>
  </si>
  <si>
    <t>Västra Götalands län</t>
  </si>
  <si>
    <t>Norra Upplandskustens Älgförvaltningsområde</t>
  </si>
  <si>
    <t>03-003</t>
  </si>
  <si>
    <t>17</t>
  </si>
  <si>
    <t>Värmlands län</t>
  </si>
  <si>
    <t>Almunge Älgförvaltningsområde</t>
  </si>
  <si>
    <t>03-004</t>
  </si>
  <si>
    <t>18</t>
  </si>
  <si>
    <t>Örebro län</t>
  </si>
  <si>
    <t>Ekoln-Trögdens Älgförvaltningsområde</t>
  </si>
  <si>
    <t>03-005</t>
  </si>
  <si>
    <t>19</t>
  </si>
  <si>
    <t>Västmanlands län</t>
  </si>
  <si>
    <t>Fjärdhundra Älgförvaltningsområde</t>
  </si>
  <si>
    <t>03-006</t>
  </si>
  <si>
    <t>20</t>
  </si>
  <si>
    <t>Dalarnas län</t>
  </si>
  <si>
    <t>Älgförvaltningsområde 1</t>
  </si>
  <si>
    <t>04-001</t>
  </si>
  <si>
    <t>21</t>
  </si>
  <si>
    <t>Gävleborgs län</t>
  </si>
  <si>
    <t>Älgförvaltningsområde 2</t>
  </si>
  <si>
    <t>04-002</t>
  </si>
  <si>
    <t>22</t>
  </si>
  <si>
    <t>Västernorrland län</t>
  </si>
  <si>
    <t>Älgförvaltningsområde 3</t>
  </si>
  <si>
    <t>04-003</t>
  </si>
  <si>
    <t>23</t>
  </si>
  <si>
    <t>Jämtlands län</t>
  </si>
  <si>
    <t>Älgförvaltningsområde 4</t>
  </si>
  <si>
    <t>04-004</t>
  </si>
  <si>
    <t>24</t>
  </si>
  <si>
    <t>Västerbottens län</t>
  </si>
  <si>
    <t>Älgdörvaltningsområde 5</t>
  </si>
  <si>
    <t>04-005</t>
  </si>
  <si>
    <t>25</t>
  </si>
  <si>
    <t>Norrbottens län</t>
  </si>
  <si>
    <t>Älgförvaltningsområde 6</t>
  </si>
  <si>
    <t>04-006</t>
  </si>
  <si>
    <t>Älgförvaltningsområde 7</t>
  </si>
  <si>
    <t>04-007</t>
  </si>
  <si>
    <t>Öka-minska lista</t>
  </si>
  <si>
    <t>Älgförvaltningsområde 8</t>
  </si>
  <si>
    <t>04-008</t>
  </si>
  <si>
    <t>Älgförvaltningsområde 9</t>
  </si>
  <si>
    <t>04-009</t>
  </si>
  <si>
    <t>1 Finspång del av Norrköpings kommun</t>
  </si>
  <si>
    <t>05-001</t>
  </si>
  <si>
    <t>2 Vikbolandet och kusten öster om E 22 ner till länsgränsen</t>
  </si>
  <si>
    <t>05-002</t>
  </si>
  <si>
    <t>3 Åtvidaberg samt del av Linköping, Valdemarsvik,Söderköping</t>
  </si>
  <si>
    <t>05-003</t>
  </si>
  <si>
    <t>4 Boxholm samt del av Linköping, Mjölby och Ödeshög</t>
  </si>
  <si>
    <t>05-004</t>
  </si>
  <si>
    <t>5  Kinda</t>
  </si>
  <si>
    <t>05-005</t>
  </si>
  <si>
    <t>6 Vadstenaslätten mellan Motala Ström och E4:an</t>
  </si>
  <si>
    <t>05-006</t>
  </si>
  <si>
    <t>7 Ydre</t>
  </si>
  <si>
    <t>05-007</t>
  </si>
  <si>
    <t>8 Motala och del av Linköpings kommun</t>
  </si>
  <si>
    <t>05-008</t>
  </si>
  <si>
    <t>ÄFO 1</t>
  </si>
  <si>
    <t>06-001</t>
  </si>
  <si>
    <t>ÄFO 2</t>
  </si>
  <si>
    <t>06-002</t>
  </si>
  <si>
    <t>ÄFO 3</t>
  </si>
  <si>
    <t>06-003</t>
  </si>
  <si>
    <t>ÄFO 4</t>
  </si>
  <si>
    <t>06-004</t>
  </si>
  <si>
    <t>ÄFO 5</t>
  </si>
  <si>
    <t>06-005</t>
  </si>
  <si>
    <t>ÄFO 6</t>
  </si>
  <si>
    <t>06-006</t>
  </si>
  <si>
    <t>ÄFO 7</t>
  </si>
  <si>
    <t>06-007</t>
  </si>
  <si>
    <t>ÄFO 8</t>
  </si>
  <si>
    <t>06-008</t>
  </si>
  <si>
    <t>07-001</t>
  </si>
  <si>
    <t>07-002</t>
  </si>
  <si>
    <t>07-003</t>
  </si>
  <si>
    <t>07-004</t>
  </si>
  <si>
    <t>07-005</t>
  </si>
  <si>
    <t>07-006</t>
  </si>
  <si>
    <t>07-007</t>
  </si>
  <si>
    <t>1. Västervik norra</t>
  </si>
  <si>
    <t>08-001</t>
  </si>
  <si>
    <t>2. Västervik södra</t>
  </si>
  <si>
    <t>08-002</t>
  </si>
  <si>
    <t>3. Vimmerby</t>
  </si>
  <si>
    <t>08-003</t>
  </si>
  <si>
    <t>4. Hultsfred</t>
  </si>
  <si>
    <t>08-004</t>
  </si>
  <si>
    <t>5. Oskarshamn</t>
  </si>
  <si>
    <t>08-005</t>
  </si>
  <si>
    <t>6. Emåns</t>
  </si>
  <si>
    <t>08-006</t>
  </si>
  <si>
    <t>7. Kalmar västra</t>
  </si>
  <si>
    <t>08-007</t>
  </si>
  <si>
    <t>8. Kalmarsunds</t>
  </si>
  <si>
    <t>08-008</t>
  </si>
  <si>
    <t>9. Ölands</t>
  </si>
  <si>
    <t>08-009</t>
  </si>
  <si>
    <t>10. Kalmar södra</t>
  </si>
  <si>
    <t>08-010</t>
  </si>
  <si>
    <t>Blekinge Väst</t>
  </si>
  <si>
    <t>10-001</t>
  </si>
  <si>
    <t>Blekinge Mitt</t>
  </si>
  <si>
    <t>10-002</t>
  </si>
  <si>
    <t>Blekinge Öst</t>
  </si>
  <si>
    <t>10-003</t>
  </si>
  <si>
    <t>Södra älgförvaltningsområdet</t>
  </si>
  <si>
    <t>12-001</t>
  </si>
  <si>
    <t>Mellersta Älgförvaltningsområdet</t>
  </si>
  <si>
    <t>12-002</t>
  </si>
  <si>
    <t>Mellersta Norra älgförvaltningsområdet</t>
  </si>
  <si>
    <t>12-003</t>
  </si>
  <si>
    <t>Nordvästra älgförvaltningsområdet</t>
  </si>
  <si>
    <t>12-004</t>
  </si>
  <si>
    <t>Nordöstra älgförvaltningsområdet</t>
  </si>
  <si>
    <t>12-005</t>
  </si>
  <si>
    <t>Norra älgförvaltningsområdet</t>
  </si>
  <si>
    <t>13-001</t>
  </si>
  <si>
    <t>Centrala älgförvaltningsområdet</t>
  </si>
  <si>
    <t>13-002</t>
  </si>
  <si>
    <t>Östra älgförvaltningsområdet</t>
  </si>
  <si>
    <t>13-003</t>
  </si>
  <si>
    <t>13-004</t>
  </si>
  <si>
    <t>Älgförvaltningsområde 1 Norra Dal</t>
  </si>
  <si>
    <t>14-003</t>
  </si>
  <si>
    <t>Älgförvaltningsområde 2 Norra Bohuslän</t>
  </si>
  <si>
    <t>14-004</t>
  </si>
  <si>
    <t>14-005</t>
  </si>
  <si>
    <t>14-006</t>
  </si>
  <si>
    <t>Älgförvaltningsområde 5</t>
  </si>
  <si>
    <t>14-002</t>
  </si>
  <si>
    <t>Älgförvaltningsområde 6 Norra Skaraborgs äfo</t>
  </si>
  <si>
    <t>14-007</t>
  </si>
  <si>
    <t>14-001</t>
  </si>
  <si>
    <t>14-008</t>
  </si>
  <si>
    <t>Älgförvaltningsområde 9 ÄFG söder R40</t>
  </si>
  <si>
    <t>14-009</t>
  </si>
  <si>
    <t>Finnskoga-Dalby ÄFO</t>
  </si>
  <si>
    <t>17-003</t>
  </si>
  <si>
    <t>Ljusnans ÄFO</t>
  </si>
  <si>
    <t>17-004</t>
  </si>
  <si>
    <t>Fryken-Glafsfjorden ÄFO</t>
  </si>
  <si>
    <t>17-005</t>
  </si>
  <si>
    <t>Klarälven-Fryken ÄFO</t>
  </si>
  <si>
    <t>17-006</t>
  </si>
  <si>
    <t>Örtens ÄFO</t>
  </si>
  <si>
    <t>17-002</t>
  </si>
  <si>
    <t>Wermlandsbergs ÄFO</t>
  </si>
  <si>
    <t>17-007</t>
  </si>
  <si>
    <t>Glaskogens ÄFO</t>
  </si>
  <si>
    <t>17-008</t>
  </si>
  <si>
    <t>Vänerbygdens ÄFO</t>
  </si>
  <si>
    <t>17-009</t>
  </si>
  <si>
    <t>Bergslagskanalens ÄFO</t>
  </si>
  <si>
    <t>17-001</t>
  </si>
  <si>
    <t>Vänern-Möckeln  ÄFO</t>
  </si>
  <si>
    <t>17-010</t>
  </si>
  <si>
    <t>1. Hökhöjden</t>
  </si>
  <si>
    <t>18-001</t>
  </si>
  <si>
    <t>2. Malingsbo</t>
  </si>
  <si>
    <t>18-002</t>
  </si>
  <si>
    <t>3. Kilsbergen</t>
  </si>
  <si>
    <t>18-003</t>
  </si>
  <si>
    <t>4. Frövi</t>
  </si>
  <si>
    <t>18-004</t>
  </si>
  <si>
    <t>5. Örebro läns västra</t>
  </si>
  <si>
    <t>18-005</t>
  </si>
  <si>
    <t>6. Kvismaren</t>
  </si>
  <si>
    <t>18-006</t>
  </si>
  <si>
    <t>7. Tiveden</t>
  </si>
  <si>
    <t>18-007</t>
  </si>
  <si>
    <t>8. Närkesberg</t>
  </si>
  <si>
    <t>18-008</t>
  </si>
  <si>
    <t>Fagersta-Möklinta ÄFO 1</t>
  </si>
  <si>
    <t>19-001</t>
  </si>
  <si>
    <t>Gunnilbo ÄFO 2</t>
  </si>
  <si>
    <t>19-002</t>
  </si>
  <si>
    <t>Skultuna ÄFO 3</t>
  </si>
  <si>
    <t>19-003</t>
  </si>
  <si>
    <t>Köping-Västerås ÄFO 4</t>
  </si>
  <si>
    <t>19-004</t>
  </si>
  <si>
    <t>Kungsör ÄFO 5</t>
  </si>
  <si>
    <t>19-005</t>
  </si>
  <si>
    <t>Särna-Idre älgförvaltningsområde</t>
  </si>
  <si>
    <t>20-001</t>
  </si>
  <si>
    <t>Transtrands älgförvaltningsområde</t>
  </si>
  <si>
    <t>20-002</t>
  </si>
  <si>
    <t>Älvdalens älgförvaltningsområde</t>
  </si>
  <si>
    <t>20-003</t>
  </si>
  <si>
    <t>Noppikoski älgförvaltningsområde</t>
  </si>
  <si>
    <t>20-004</t>
  </si>
  <si>
    <t>Malungs västra älgförvaltningsområde</t>
  </si>
  <si>
    <t>20-005</t>
  </si>
  <si>
    <t>Malungs östra-Venjans älgförvaltningsområde</t>
  </si>
  <si>
    <t>20-006</t>
  </si>
  <si>
    <t>Siljansringens älgförvaltningsområde</t>
  </si>
  <si>
    <t>20-007</t>
  </si>
  <si>
    <t>Bingsjö älgförvaltningsområde</t>
  </si>
  <si>
    <t>20-008</t>
  </si>
  <si>
    <t>Siljansnäs älgförvaltningsområde</t>
  </si>
  <si>
    <t>20-009</t>
  </si>
  <si>
    <t>Bjursås älgförvaltningsområde</t>
  </si>
  <si>
    <t>20-010</t>
  </si>
  <si>
    <t>Gimmens älgförvaltningsområde</t>
  </si>
  <si>
    <t>20-011</t>
  </si>
  <si>
    <t>Lumshedens älgförvaltningsområde</t>
  </si>
  <si>
    <t>20-012</t>
  </si>
  <si>
    <t>Fredriksbergs älgförvaltningsområde</t>
  </si>
  <si>
    <t>20-013</t>
  </si>
  <si>
    <t>Gyllbergens älgförvaltningsområde</t>
  </si>
  <si>
    <t>20-014</t>
  </si>
  <si>
    <t>Gävle-Dala älgförvaltningsområde</t>
  </si>
  <si>
    <t>20-015</t>
  </si>
  <si>
    <t>Norns älgförvaltningsområde</t>
  </si>
  <si>
    <t>20-016</t>
  </si>
  <si>
    <t>Strömsbruk</t>
  </si>
  <si>
    <t>21-001</t>
  </si>
  <si>
    <t>Norra Hälsingland</t>
  </si>
  <si>
    <t>21-002</t>
  </si>
  <si>
    <t>Ljusdal-Ramsjö</t>
  </si>
  <si>
    <t>21-003</t>
  </si>
  <si>
    <t>Voxna</t>
  </si>
  <si>
    <t>21-004</t>
  </si>
  <si>
    <t>Ljusnan-Voxnan</t>
  </si>
  <si>
    <t>21-005</t>
  </si>
  <si>
    <t>Öster-Ljusnan</t>
  </si>
  <si>
    <t>21-006</t>
  </si>
  <si>
    <t>Långvind</t>
  </si>
  <si>
    <t>21-007</t>
  </si>
  <si>
    <t>Ödmorden</t>
  </si>
  <si>
    <t>21-008</t>
  </si>
  <si>
    <t>Ljusne</t>
  </si>
  <si>
    <t>21-009</t>
  </si>
  <si>
    <t>Trödje</t>
  </si>
  <si>
    <t>21-010</t>
  </si>
  <si>
    <t>Söder Voxnan</t>
  </si>
  <si>
    <t>21-011</t>
  </si>
  <si>
    <t>Gruvberget</t>
  </si>
  <si>
    <t>21-012</t>
  </si>
  <si>
    <t>Södra Gästrikland</t>
  </si>
  <si>
    <t>21-013</t>
  </si>
  <si>
    <t>Furuvik</t>
  </si>
  <si>
    <t>21-014</t>
  </si>
  <si>
    <t>Örnsköldsvik</t>
  </si>
  <si>
    <t>22-001</t>
  </si>
  <si>
    <t>Älvarna</t>
  </si>
  <si>
    <t>22-002</t>
  </si>
  <si>
    <t>Strömsund/Sollefteå</t>
  </si>
  <si>
    <t>23-001</t>
  </si>
  <si>
    <t>Hammerdal/Ragunda</t>
  </si>
  <si>
    <t>23-002</t>
  </si>
  <si>
    <t>Västjämtland</t>
  </si>
  <si>
    <t>23-003</t>
  </si>
  <si>
    <t>Östersund/Sundsvall</t>
  </si>
  <si>
    <t>23-004</t>
  </si>
  <si>
    <t>Berg</t>
  </si>
  <si>
    <t>23-005</t>
  </si>
  <si>
    <t>Härjedalen</t>
  </si>
  <si>
    <t>23-006</t>
  </si>
  <si>
    <t>24-001</t>
  </si>
  <si>
    <t>Mellersta älgförvaltningsområdet</t>
  </si>
  <si>
    <t>24-002</t>
  </si>
  <si>
    <t>Sydvästra älgförvaltningsområdet</t>
  </si>
  <si>
    <t>24-003</t>
  </si>
  <si>
    <t>24-004</t>
  </si>
  <si>
    <t>Sydöstra älgförvaltningsområdet</t>
  </si>
  <si>
    <t>24-005</t>
  </si>
  <si>
    <t>25-001</t>
  </si>
  <si>
    <t>25-002</t>
  </si>
  <si>
    <t>25-003</t>
  </si>
  <si>
    <t>25-004</t>
  </si>
  <si>
    <t>25-005</t>
  </si>
  <si>
    <t>25-006</t>
  </si>
  <si>
    <t>Jan Henriksson</t>
  </si>
  <si>
    <t>070 - 622 93 40</t>
  </si>
  <si>
    <t>Grytnäs 47</t>
  </si>
  <si>
    <t>774 92  Avesta</t>
  </si>
  <si>
    <t>janne@fabeco.se</t>
  </si>
  <si>
    <t>Betesskador</t>
  </si>
  <si>
    <t>Hålnan</t>
  </si>
  <si>
    <t xml:space="preserve"> </t>
  </si>
  <si>
    <t>20-83-02-003 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</si>
</sst>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#,##0_ ;\-#,##0\ "/>
    <numFmt numFmtId="166" formatCode="0&quot; kg&quot;"/>
    <numFmt numFmtId="167" formatCode="0&quot; %&quot;"/>
    <numFmt numFmtId="168" formatCode="0.0%"/>
    <numFmt numFmtId="169" formatCode="0.000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8"/>
      <color indexed="8"/>
      <name val="Calibri"/>
      <family val="2"/>
    </font>
    <font>
      <b/>
      <sz val="11"/>
      <color indexed="62"/>
      <name val="Calibri"/>
      <family val="2"/>
    </font>
    <font>
      <i/>
      <u/>
      <sz val="11"/>
      <color theme="10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6"/>
      <color theme="1"/>
      <name val="Calibri"/>
      <family val="2"/>
    </font>
    <font>
      <b/>
      <i/>
      <u/>
      <sz val="16"/>
      <color theme="1"/>
      <name val="Calibri"/>
      <family val="2"/>
    </font>
    <font>
      <b/>
      <sz val="18"/>
      <color theme="1"/>
      <name val="Calibri"/>
      <family val="2"/>
    </font>
    <font>
      <i/>
      <sz val="14"/>
      <color theme="1"/>
      <name val="Calibri"/>
      <family val="2"/>
    </font>
    <font>
      <b/>
      <i/>
      <u/>
      <sz val="14"/>
      <color theme="1"/>
      <name val="Calibri"/>
      <family val="2"/>
    </font>
    <font>
      <i/>
      <sz val="11"/>
      <color theme="1"/>
      <name val="Calibri"/>
      <family val="2"/>
    </font>
    <font>
      <i/>
      <u/>
      <sz val="11"/>
      <color theme="1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darkDown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0" fontId="4" fillId="2" borderId="7" applyNumberFormat="0" applyAlignment="0" applyProtection="0"/>
    <xf numFmtId="164" fontId="1" fillId="9" borderId="1">
      <alignment horizontal="center"/>
    </xf>
    <xf numFmtId="0" fontId="27" fillId="0" borderId="0"/>
    <xf numFmtId="0" fontId="28" fillId="17" borderId="31" applyNumberFormat="0" applyAlignment="0" applyProtection="0"/>
    <xf numFmtId="9" fontId="27" fillId="0" borderId="0" applyFont="0" applyFill="0" applyBorder="0" applyAlignment="0" applyProtection="0"/>
  </cellStyleXfs>
  <cellXfs count="352">
    <xf numFmtId="0" fontId="0" fillId="0" borderId="0" xfId="0"/>
    <xf numFmtId="0" fontId="1" fillId="0" borderId="14" xfId="0" applyFont="1" applyFill="1" applyBorder="1" applyAlignment="1" applyProtection="1">
      <alignment horizontal="left"/>
    </xf>
    <xf numFmtId="0" fontId="7" fillId="0" borderId="1" xfId="0" applyFont="1" applyFill="1" applyBorder="1" applyAlignment="1" applyProtection="1">
      <alignment horizontal="left"/>
    </xf>
    <xf numFmtId="0" fontId="1" fillId="0" borderId="2" xfId="2" applyFont="1" applyFill="1" applyBorder="1" applyAlignment="1" applyProtection="1">
      <alignment horizontal="center"/>
    </xf>
    <xf numFmtId="0" fontId="1" fillId="0" borderId="1" xfId="2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right"/>
    </xf>
    <xf numFmtId="1" fontId="0" fillId="0" borderId="1" xfId="0" applyNumberFormat="1" applyFont="1" applyFill="1" applyBorder="1" applyAlignment="1" applyProtection="1">
      <alignment horizontal="center"/>
    </xf>
    <xf numFmtId="0" fontId="0" fillId="0" borderId="14" xfId="0" applyFill="1" applyBorder="1" applyAlignment="1" applyProtection="1">
      <alignment horizontal="left"/>
    </xf>
    <xf numFmtId="0" fontId="7" fillId="0" borderId="2" xfId="0" applyFont="1" applyFill="1" applyBorder="1" applyAlignment="1" applyProtection="1">
      <alignment horizontal="left"/>
    </xf>
    <xf numFmtId="0" fontId="9" fillId="0" borderId="2" xfId="0" applyFont="1" applyFill="1" applyBorder="1" applyAlignment="1" applyProtection="1">
      <alignment horizontal="center"/>
    </xf>
    <xf numFmtId="0" fontId="0" fillId="0" borderId="5" xfId="0" applyFont="1" applyFill="1" applyBorder="1" applyAlignment="1" applyProtection="1">
      <alignment horizontal="left"/>
    </xf>
    <xf numFmtId="164" fontId="0" fillId="0" borderId="1" xfId="0" applyNumberFormat="1" applyFont="1" applyFill="1" applyBorder="1" applyAlignment="1" applyProtection="1">
      <alignment horizontal="center"/>
    </xf>
    <xf numFmtId="0" fontId="7" fillId="0" borderId="4" xfId="2" applyFont="1" applyFill="1" applyBorder="1" applyAlignment="1" applyProtection="1">
      <alignment horizontal="center"/>
    </xf>
    <xf numFmtId="0" fontId="17" fillId="0" borderId="14" xfId="2" applyFont="1" applyFill="1" applyBorder="1" applyAlignment="1" applyProtection="1">
      <alignment horizontal="left"/>
    </xf>
    <xf numFmtId="164" fontId="15" fillId="0" borderId="2" xfId="0" applyNumberFormat="1" applyFont="1" applyFill="1" applyBorder="1" applyAlignment="1" applyProtection="1">
      <alignment horizontal="center"/>
    </xf>
    <xf numFmtId="1" fontId="15" fillId="0" borderId="2" xfId="0" applyNumberFormat="1" applyFont="1" applyFill="1" applyBorder="1" applyAlignment="1" applyProtection="1">
      <alignment horizontal="center"/>
    </xf>
    <xf numFmtId="164" fontId="15" fillId="0" borderId="1" xfId="0" applyNumberFormat="1" applyFont="1" applyFill="1" applyBorder="1" applyAlignment="1" applyProtection="1">
      <alignment horizontal="center"/>
    </xf>
    <xf numFmtId="1" fontId="15" fillId="0" borderId="1" xfId="0" applyNumberFormat="1" applyFont="1" applyFill="1" applyBorder="1" applyAlignment="1" applyProtection="1">
      <alignment horizontal="center"/>
    </xf>
    <xf numFmtId="1" fontId="1" fillId="0" borderId="1" xfId="2" applyNumberFormat="1" applyFont="1" applyFill="1" applyBorder="1" applyAlignment="1" applyProtection="1">
      <alignment horizontal="center"/>
    </xf>
    <xf numFmtId="1" fontId="0" fillId="0" borderId="2" xfId="0" applyNumberFormat="1" applyFont="1" applyFill="1" applyBorder="1" applyAlignment="1" applyProtection="1">
      <alignment horizontal="center"/>
    </xf>
    <xf numFmtId="9" fontId="0" fillId="0" borderId="1" xfId="1" applyNumberFormat="1" applyFont="1" applyFill="1" applyBorder="1" applyAlignment="1" applyProtection="1">
      <alignment horizontal="center"/>
    </xf>
    <xf numFmtId="0" fontId="1" fillId="0" borderId="19" xfId="0" applyFont="1" applyFill="1" applyBorder="1"/>
    <xf numFmtId="0" fontId="1" fillId="0" borderId="24" xfId="0" applyFont="1" applyFill="1" applyBorder="1"/>
    <xf numFmtId="0" fontId="0" fillId="0" borderId="28" xfId="0" applyFill="1" applyBorder="1"/>
    <xf numFmtId="0" fontId="13" fillId="0" borderId="29" xfId="2" applyFont="1" applyFill="1" applyBorder="1" applyAlignment="1" applyProtection="1">
      <alignment horizontal="center"/>
    </xf>
    <xf numFmtId="0" fontId="13" fillId="0" borderId="30" xfId="2" applyFont="1" applyFill="1" applyBorder="1" applyAlignment="1" applyProtection="1">
      <alignment horizontal="center"/>
    </xf>
    <xf numFmtId="0" fontId="9" fillId="0" borderId="4" xfId="2" applyFont="1" applyFill="1" applyBorder="1" applyAlignment="1" applyProtection="1">
      <alignment horizontal="left"/>
    </xf>
    <xf numFmtId="0" fontId="9" fillId="0" borderId="2" xfId="2" applyFont="1" applyFill="1" applyBorder="1" applyAlignment="1" applyProtection="1">
      <alignment horizontal="left"/>
    </xf>
    <xf numFmtId="0" fontId="23" fillId="0" borderId="4" xfId="2" applyFont="1" applyFill="1" applyBorder="1" applyAlignment="1" applyProtection="1">
      <alignment horizontal="left" vertical="top" wrapText="1"/>
    </xf>
    <xf numFmtId="0" fontId="23" fillId="0" borderId="2" xfId="2" applyFont="1" applyFill="1" applyBorder="1" applyAlignment="1" applyProtection="1">
      <alignment horizontal="left" vertical="top" wrapText="1"/>
    </xf>
    <xf numFmtId="164" fontId="9" fillId="0" borderId="1" xfId="2" applyNumberFormat="1" applyFont="1" applyFill="1" applyBorder="1" applyAlignment="1" applyProtection="1">
      <alignment horizontal="center"/>
    </xf>
    <xf numFmtId="9" fontId="9" fillId="0" borderId="1" xfId="1" applyFont="1" applyFill="1" applyBorder="1" applyAlignment="1" applyProtection="1">
      <alignment horizontal="center"/>
    </xf>
    <xf numFmtId="1" fontId="9" fillId="0" borderId="1" xfId="5" applyNumberFormat="1" applyFont="1" applyFill="1" applyBorder="1" applyAlignment="1" applyProtection="1">
      <alignment horizontal="center"/>
    </xf>
    <xf numFmtId="0" fontId="27" fillId="0" borderId="32" xfId="4" applyFont="1" applyFill="1" applyBorder="1" applyAlignment="1" applyProtection="1">
      <alignment horizontal="left"/>
    </xf>
    <xf numFmtId="0" fontId="9" fillId="0" borderId="1" xfId="4" applyFont="1" applyFill="1" applyBorder="1" applyAlignment="1" applyProtection="1">
      <alignment horizontal="center" wrapText="1"/>
    </xf>
    <xf numFmtId="0" fontId="26" fillId="0" borderId="5" xfId="4" applyFont="1" applyFill="1" applyBorder="1" applyAlignment="1" applyProtection="1">
      <alignment horizontal="center"/>
    </xf>
    <xf numFmtId="0" fontId="26" fillId="0" borderId="5" xfId="4" applyFont="1" applyFill="1" applyBorder="1" applyAlignment="1" applyProtection="1">
      <alignment horizontal="left"/>
    </xf>
    <xf numFmtId="49" fontId="0" fillId="0" borderId="1" xfId="0" applyNumberFormat="1" applyFill="1" applyBorder="1" applyAlignment="1" applyProtection="1">
      <alignment horizontal="left"/>
    </xf>
    <xf numFmtId="2" fontId="0" fillId="0" borderId="2" xfId="0" applyNumberFormat="1" applyFill="1" applyBorder="1" applyAlignment="1" applyProtection="1">
      <alignment horizontal="center"/>
    </xf>
    <xf numFmtId="164" fontId="0" fillId="0" borderId="2" xfId="0" applyNumberFormat="1" applyFill="1" applyBorder="1" applyAlignment="1" applyProtection="1">
      <alignment horizontal="center"/>
    </xf>
    <xf numFmtId="0" fontId="34" fillId="0" borderId="1" xfId="0" applyNumberFormat="1" applyFont="1" applyFill="1" applyBorder="1" applyAlignment="1" applyProtection="1">
      <alignment horizontal="left" wrapText="1"/>
    </xf>
    <xf numFmtId="9" fontId="33" fillId="0" borderId="1" xfId="0" applyNumberFormat="1" applyFont="1" applyFill="1" applyBorder="1" applyAlignment="1" applyProtection="1">
      <alignment horizontal="center"/>
    </xf>
    <xf numFmtId="1" fontId="33" fillId="0" borderId="1" xfId="0" applyNumberFormat="1" applyFont="1" applyFill="1" applyBorder="1" applyAlignment="1" applyProtection="1">
      <alignment horizontal="center"/>
    </xf>
    <xf numFmtId="164" fontId="33" fillId="0" borderId="1" xfId="0" applyNumberFormat="1" applyFont="1" applyFill="1" applyBorder="1" applyAlignment="1" applyProtection="1">
      <alignment horizontal="center"/>
    </xf>
    <xf numFmtId="167" fontId="0" fillId="0" borderId="5" xfId="0" applyNumberForma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horizontal="center"/>
    </xf>
    <xf numFmtId="164" fontId="1" fillId="0" borderId="1" xfId="0" applyNumberFormat="1" applyFont="1" applyFill="1" applyBorder="1" applyAlignment="1" applyProtection="1">
      <alignment horizontal="center" wrapText="1"/>
    </xf>
    <xf numFmtId="1" fontId="0" fillId="0" borderId="8" xfId="0" applyNumberFormat="1" applyFill="1" applyBorder="1" applyAlignment="1" applyProtection="1">
      <alignment horizontal="center"/>
    </xf>
    <xf numFmtId="0" fontId="1" fillId="0" borderId="11" xfId="0" applyNumberFormat="1" applyFont="1" applyFill="1" applyBorder="1" applyAlignment="1" applyProtection="1">
      <alignment horizontal="right"/>
    </xf>
    <xf numFmtId="9" fontId="0" fillId="0" borderId="12" xfId="0" applyNumberFormat="1" applyFill="1" applyBorder="1" applyAlignment="1" applyProtection="1">
      <alignment horizontal="center"/>
    </xf>
    <xf numFmtId="2" fontId="0" fillId="0" borderId="1" xfId="0" applyNumberFormat="1" applyFill="1" applyBorder="1" applyAlignment="1" applyProtection="1">
      <alignment horizontal="center"/>
    </xf>
    <xf numFmtId="0" fontId="9" fillId="0" borderId="14" xfId="0" applyNumberFormat="1" applyFont="1" applyFill="1" applyBorder="1" applyAlignment="1" applyProtection="1">
      <alignment horizontal="left"/>
    </xf>
    <xf numFmtId="0" fontId="9" fillId="0" borderId="1" xfId="0" applyNumberFormat="1" applyFont="1" applyFill="1" applyBorder="1" applyAlignment="1" applyProtection="1">
      <alignment horizontal="left"/>
    </xf>
    <xf numFmtId="2" fontId="27" fillId="0" borderId="5" xfId="0" applyNumberFormat="1" applyFont="1" applyFill="1" applyBorder="1" applyAlignment="1" applyProtection="1">
      <alignment horizontal="center"/>
    </xf>
    <xf numFmtId="9" fontId="27" fillId="0" borderId="5" xfId="0" applyNumberFormat="1" applyFont="1" applyFill="1" applyBorder="1" applyAlignment="1" applyProtection="1">
      <alignment horizontal="center"/>
    </xf>
    <xf numFmtId="0" fontId="27" fillId="0" borderId="5" xfId="0" applyNumberFormat="1" applyFont="1" applyFill="1" applyBorder="1" applyAlignment="1" applyProtection="1"/>
    <xf numFmtId="0" fontId="26" fillId="0" borderId="22" xfId="0" applyNumberFormat="1" applyFont="1" applyFill="1" applyBorder="1" applyAlignment="1" applyProtection="1">
      <alignment wrapText="1"/>
    </xf>
    <xf numFmtId="0" fontId="26" fillId="0" borderId="27" xfId="0" applyNumberFormat="1" applyFont="1" applyFill="1" applyBorder="1" applyAlignment="1" applyProtection="1">
      <alignment wrapText="1"/>
    </xf>
    <xf numFmtId="14" fontId="26" fillId="0" borderId="27" xfId="0" applyNumberFormat="1" applyFont="1" applyFill="1" applyBorder="1" applyAlignment="1" applyProtection="1">
      <alignment wrapText="1"/>
    </xf>
    <xf numFmtId="0" fontId="0" fillId="0" borderId="8" xfId="0" applyNumberFormat="1" applyFill="1" applyBorder="1" applyAlignment="1" applyProtection="1"/>
    <xf numFmtId="0" fontId="0" fillId="0" borderId="1" xfId="0" applyNumberFormat="1" applyFill="1" applyBorder="1" applyAlignment="1" applyProtection="1"/>
    <xf numFmtId="2" fontId="0" fillId="0" borderId="8" xfId="0" applyNumberFormat="1" applyFill="1" applyBorder="1" applyAlignment="1" applyProtection="1"/>
    <xf numFmtId="2" fontId="0" fillId="0" borderId="1" xfId="0" applyNumberFormat="1" applyFill="1" applyBorder="1" applyAlignment="1" applyProtection="1"/>
    <xf numFmtId="0" fontId="0" fillId="0" borderId="6" xfId="0" applyNumberFormat="1" applyFill="1" applyBorder="1" applyAlignment="1" applyProtection="1"/>
    <xf numFmtId="2" fontId="0" fillId="0" borderId="6" xfId="0" applyNumberFormat="1" applyFill="1" applyBorder="1" applyAlignment="1" applyProtection="1"/>
    <xf numFmtId="0" fontId="1" fillId="0" borderId="23" xfId="0" applyNumberFormat="1" applyFont="1" applyFill="1" applyBorder="1" applyAlignment="1" applyProtection="1"/>
    <xf numFmtId="2" fontId="1" fillId="0" borderId="24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>
      <alignment horizontal="center"/>
    </xf>
    <xf numFmtId="0" fontId="0" fillId="0" borderId="0" xfId="0" applyNumberFormat="1" applyFill="1" applyAlignment="1" applyProtection="1"/>
    <xf numFmtId="49" fontId="0" fillId="10" borderId="1" xfId="0" applyNumberFormat="1" applyFill="1" applyBorder="1" applyAlignment="1" applyProtection="1">
      <alignment horizontal="left"/>
    </xf>
    <xf numFmtId="0" fontId="16" fillId="0" borderId="0" xfId="0" applyNumberFormat="1" applyFont="1" applyFill="1" applyAlignment="1" applyProtection="1"/>
    <xf numFmtId="0" fontId="0" fillId="0" borderId="0" xfId="0" applyNumberFormat="1" applyFill="1" applyAlignment="1" applyProtection="1">
      <alignment vertical="center"/>
    </xf>
    <xf numFmtId="49" fontId="0" fillId="2" borderId="1" xfId="0" applyNumberFormat="1" applyFill="1" applyBorder="1" applyAlignment="1" applyProtection="1">
      <alignment horizontal="left"/>
    </xf>
    <xf numFmtId="49" fontId="0" fillId="15" borderId="1" xfId="0" applyNumberFormat="1" applyFill="1" applyBorder="1" applyAlignment="1" applyProtection="1">
      <alignment horizontal="left"/>
    </xf>
    <xf numFmtId="49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left"/>
    </xf>
    <xf numFmtId="3" fontId="0" fillId="10" borderId="1" xfId="0" applyNumberFormat="1" applyFill="1" applyBorder="1" applyAlignment="1" applyProtection="1">
      <alignment horizontal="center"/>
      <protection locked="0"/>
    </xf>
    <xf numFmtId="9" fontId="14" fillId="0" borderId="0" xfId="0" applyNumberFormat="1" applyFont="1" applyFill="1" applyAlignment="1" applyProtection="1">
      <alignment horizontal="left"/>
    </xf>
    <xf numFmtId="0" fontId="11" fillId="0" borderId="0" xfId="0" applyNumberFormat="1" applyFont="1" applyFill="1" applyAlignment="1" applyProtection="1">
      <alignment horizontal="left" vertical="center"/>
    </xf>
    <xf numFmtId="0" fontId="9" fillId="10" borderId="3" xfId="0" applyNumberFormat="1" applyFont="1" applyFill="1" applyBorder="1" applyAlignment="1" applyProtection="1">
      <alignment horizontal="left"/>
      <protection locked="0"/>
    </xf>
    <xf numFmtId="0" fontId="14" fillId="0" borderId="0" xfId="0" applyNumberFormat="1" applyFont="1" applyFill="1" applyAlignment="1" applyProtection="1">
      <alignment horizontal="left"/>
    </xf>
    <xf numFmtId="0" fontId="9" fillId="0" borderId="0" xfId="0" applyNumberFormat="1" applyFont="1" applyFill="1" applyAlignment="1" applyProtection="1">
      <alignment horizontal="left"/>
    </xf>
    <xf numFmtId="0" fontId="33" fillId="0" borderId="0" xfId="0" applyNumberFormat="1" applyFont="1" applyFill="1" applyAlignment="1" applyProtection="1">
      <alignment horizontal="left" vertical="top"/>
    </xf>
    <xf numFmtId="0" fontId="23" fillId="0" borderId="0" xfId="0" applyNumberFormat="1" applyFont="1" applyFill="1" applyAlignment="1" applyProtection="1">
      <alignment horizontal="left" vertical="top" wrapText="1"/>
    </xf>
    <xf numFmtId="14" fontId="9" fillId="0" borderId="0" xfId="0" applyNumberFormat="1" applyFont="1" applyFill="1" applyAlignment="1" applyProtection="1">
      <alignment horizontal="left"/>
    </xf>
    <xf numFmtId="49" fontId="9" fillId="10" borderId="1" xfId="0" applyNumberFormat="1" applyFont="1" applyFill="1" applyBorder="1" applyAlignment="1" applyProtection="1">
      <alignment horizontal="left"/>
      <protection locked="0"/>
    </xf>
    <xf numFmtId="0" fontId="17" fillId="0" borderId="0" xfId="0" applyNumberFormat="1" applyFont="1" applyFill="1" applyAlignment="1" applyProtection="1">
      <alignment horizontal="left"/>
    </xf>
    <xf numFmtId="14" fontId="9" fillId="10" borderId="1" xfId="0" applyNumberFormat="1" applyFont="1" applyFill="1" applyBorder="1" applyAlignment="1" applyProtection="1">
      <alignment horizontal="left"/>
      <protection locked="0"/>
    </xf>
    <xf numFmtId="0" fontId="7" fillId="10" borderId="1" xfId="0" applyNumberFormat="1" applyFont="1" applyFill="1" applyBorder="1" applyAlignment="1" applyProtection="1">
      <alignment horizontal="center"/>
      <protection locked="0"/>
    </xf>
    <xf numFmtId="0" fontId="16" fillId="0" borderId="0" xfId="0" applyNumberFormat="1" applyFont="1" applyFill="1" applyAlignment="1" applyProtection="1">
      <alignment horizontal="left"/>
    </xf>
    <xf numFmtId="165" fontId="7" fillId="10" borderId="3" xfId="0" applyNumberFormat="1" applyFont="1" applyFill="1" applyBorder="1" applyAlignment="1" applyProtection="1">
      <alignment horizontal="center"/>
      <protection locked="0"/>
    </xf>
    <xf numFmtId="0" fontId="33" fillId="0" borderId="0" xfId="0" applyNumberFormat="1" applyFont="1" applyFill="1" applyAlignment="1" applyProtection="1">
      <alignment horizontal="left"/>
    </xf>
    <xf numFmtId="1" fontId="9" fillId="10" borderId="3" xfId="0" applyNumberFormat="1" applyFont="1" applyFill="1" applyBorder="1" applyAlignment="1" applyProtection="1">
      <alignment horizontal="center"/>
      <protection locked="0"/>
    </xf>
    <xf numFmtId="0" fontId="25" fillId="0" borderId="0" xfId="0" applyNumberFormat="1" applyFont="1" applyFill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  <protection locked="0"/>
    </xf>
    <xf numFmtId="0" fontId="11" fillId="0" borderId="0" xfId="0" applyNumberFormat="1" applyFont="1" applyFill="1" applyAlignment="1" applyProtection="1">
      <alignment horizontal="left"/>
    </xf>
    <xf numFmtId="0" fontId="13" fillId="0" borderId="0" xfId="0" applyNumberFormat="1" applyFont="1" applyFill="1" applyAlignment="1" applyProtection="1">
      <alignment horizontal="left"/>
    </xf>
    <xf numFmtId="0" fontId="10" fillId="0" borderId="0" xfId="0" applyNumberFormat="1" applyFont="1" applyFill="1" applyAlignment="1" applyProtection="1">
      <alignment horizontal="left"/>
    </xf>
    <xf numFmtId="0" fontId="0" fillId="7" borderId="0" xfId="0" applyNumberFormat="1" applyFill="1" applyAlignment="1" applyProtection="1">
      <alignment horizontal="left"/>
    </xf>
    <xf numFmtId="0" fontId="0" fillId="0" borderId="0" xfId="0" applyNumberFormat="1" applyFill="1" applyAlignment="1" applyProtection="1">
      <alignment horizontal="left" wrapText="1"/>
    </xf>
    <xf numFmtId="0" fontId="0" fillId="5" borderId="0" xfId="0" applyNumberFormat="1" applyFill="1" applyAlignment="1" applyProtection="1">
      <alignment horizontal="left"/>
    </xf>
    <xf numFmtId="0" fontId="14" fillId="0" borderId="0" xfId="0" applyNumberFormat="1" applyFont="1" applyFill="1" applyAlignment="1" applyProtection="1">
      <alignment horizontal="left" wrapText="1"/>
    </xf>
    <xf numFmtId="0" fontId="0" fillId="11" borderId="0" xfId="0" applyNumberFormat="1" applyFill="1" applyAlignment="1" applyProtection="1">
      <alignment horizontal="left"/>
    </xf>
    <xf numFmtId="0" fontId="0" fillId="8" borderId="0" xfId="0" applyNumberFormat="1" applyFill="1" applyAlignment="1" applyProtection="1">
      <alignment horizontal="left"/>
    </xf>
    <xf numFmtId="0" fontId="0" fillId="6" borderId="0" xfId="0" applyNumberFormat="1" applyFill="1" applyAlignment="1" applyProtection="1">
      <alignment horizontal="left"/>
    </xf>
    <xf numFmtId="0" fontId="1" fillId="0" borderId="0" xfId="0" applyNumberFormat="1" applyFont="1" applyFill="1" applyAlignment="1" applyProtection="1">
      <alignment horizontal="left"/>
    </xf>
    <xf numFmtId="49" fontId="1" fillId="10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10" borderId="1" xfId="0" applyNumberFormat="1" applyFill="1" applyBorder="1" applyAlignment="1" applyProtection="1">
      <alignment horizontal="center"/>
      <protection locked="0"/>
    </xf>
    <xf numFmtId="9" fontId="0" fillId="10" borderId="1" xfId="0" applyNumberFormat="1" applyFill="1" applyBorder="1" applyAlignment="1" applyProtection="1">
      <alignment horizontal="center"/>
      <protection locked="0"/>
    </xf>
    <xf numFmtId="2" fontId="0" fillId="10" borderId="1" xfId="0" applyNumberFormat="1" applyFill="1" applyBorder="1" applyAlignment="1" applyProtection="1">
      <alignment horizontal="center"/>
      <protection locked="0"/>
    </xf>
    <xf numFmtId="166" fontId="0" fillId="0" borderId="0" xfId="0" applyNumberFormat="1" applyFill="1" applyAlignment="1" applyProtection="1">
      <alignment horizontal="center"/>
    </xf>
    <xf numFmtId="0" fontId="0" fillId="2" borderId="1" xfId="0" applyNumberFormat="1" applyFill="1" applyBorder="1" applyAlignment="1" applyProtection="1">
      <alignment horizontal="left"/>
      <protection locked="0"/>
    </xf>
    <xf numFmtId="9" fontId="0" fillId="2" borderId="1" xfId="0" applyNumberFormat="1" applyFill="1" applyBorder="1" applyAlignment="1" applyProtection="1">
      <alignment horizontal="center"/>
      <protection locked="0"/>
    </xf>
    <xf numFmtId="0" fontId="0" fillId="10" borderId="1" xfId="0" applyNumberFormat="1" applyFill="1" applyBorder="1" applyAlignment="1" applyProtection="1">
      <alignment horizontal="left"/>
      <protection locked="0"/>
    </xf>
    <xf numFmtId="0" fontId="0" fillId="14" borderId="0" xfId="0" applyNumberFormat="1" applyFill="1" applyAlignment="1" applyProtection="1">
      <alignment horizontal="left"/>
    </xf>
    <xf numFmtId="9" fontId="0" fillId="0" borderId="0" xfId="0" applyNumberFormat="1" applyFill="1" applyAlignment="1" applyProtection="1">
      <alignment horizontal="center"/>
    </xf>
    <xf numFmtId="9" fontId="1" fillId="0" borderId="0" xfId="0" applyNumberFormat="1" applyFont="1" applyFill="1" applyAlignment="1" applyProtection="1">
      <alignment horizontal="center"/>
    </xf>
    <xf numFmtId="0" fontId="18" fillId="0" borderId="0" xfId="0" applyNumberFormat="1" applyFont="1" applyFill="1" applyAlignment="1" applyProtection="1">
      <alignment horizontal="left"/>
    </xf>
    <xf numFmtId="0" fontId="14" fillId="12" borderId="0" xfId="0" applyNumberFormat="1" applyFont="1" applyFill="1" applyAlignment="1" applyProtection="1">
      <alignment horizontal="left"/>
    </xf>
    <xf numFmtId="0" fontId="31" fillId="0" borderId="0" xfId="0" applyNumberFormat="1" applyFont="1" applyFill="1" applyAlignment="1" applyProtection="1">
      <alignment horizontal="left"/>
      <protection locked="0"/>
    </xf>
    <xf numFmtId="1" fontId="0" fillId="10" borderId="1" xfId="0" applyNumberFormat="1" applyFill="1" applyBorder="1" applyAlignment="1" applyProtection="1">
      <alignment horizontal="center"/>
      <protection locked="0"/>
    </xf>
    <xf numFmtId="0" fontId="2" fillId="0" borderId="0" xfId="0" applyNumberFormat="1" applyFont="1" applyFill="1" applyAlignment="1" applyProtection="1">
      <alignment horizontal="left"/>
    </xf>
    <xf numFmtId="0" fontId="8" fillId="0" borderId="0" xfId="0" applyNumberFormat="1" applyFont="1" applyFill="1" applyAlignment="1" applyProtection="1">
      <alignment horizontal="left"/>
    </xf>
    <xf numFmtId="9" fontId="9" fillId="0" borderId="0" xfId="0" applyNumberFormat="1" applyFont="1" applyFill="1" applyAlignment="1" applyProtection="1">
      <alignment horizontal="center"/>
    </xf>
    <xf numFmtId="169" fontId="0" fillId="10" borderId="1" xfId="0" applyNumberFormat="1" applyFill="1" applyBorder="1" applyAlignment="1" applyProtection="1">
      <alignment horizontal="center"/>
      <protection locked="0"/>
    </xf>
    <xf numFmtId="168" fontId="0" fillId="10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10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NumberFormat="1" applyFont="1" applyFill="1" applyAlignment="1" applyProtection="1">
      <alignment horizontal="left"/>
    </xf>
    <xf numFmtId="0" fontId="1" fillId="4" borderId="2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Fill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49" fontId="0" fillId="10" borderId="2" xfId="0" applyNumberFormat="1" applyFill="1" applyBorder="1" applyAlignment="1" applyProtection="1">
      <alignment horizontal="center"/>
      <protection locked="0"/>
    </xf>
    <xf numFmtId="49" fontId="0" fillId="10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34" fillId="0" borderId="0" xfId="0" applyNumberFormat="1" applyFont="1" applyFill="1" applyAlignment="1" applyProtection="1">
      <alignment horizontal="left"/>
    </xf>
    <xf numFmtId="9" fontId="33" fillId="0" borderId="0" xfId="0" applyNumberFormat="1" applyFont="1" applyFill="1" applyAlignment="1" applyProtection="1">
      <alignment horizontal="left"/>
    </xf>
    <xf numFmtId="9" fontId="9" fillId="10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 applyProtection="1">
      <alignment horizontal="left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NumberFormat="1" applyFont="1" applyFill="1" applyAlignment="1" applyProtection="1">
      <alignment horizontal="right"/>
    </xf>
    <xf numFmtId="1" fontId="0" fillId="2" borderId="6" xfId="0" applyNumberFormat="1" applyFill="1" applyBorder="1" applyAlignment="1" applyProtection="1">
      <alignment horizontal="center"/>
      <protection locked="0"/>
    </xf>
    <xf numFmtId="3" fontId="0" fillId="0" borderId="0" xfId="0" applyNumberFormat="1" applyFill="1" applyAlignment="1" applyProtection="1">
      <alignment horizontal="center"/>
    </xf>
    <xf numFmtId="3" fontId="0" fillId="10" borderId="2" xfId="0" applyNumberFormat="1" applyFill="1" applyBorder="1" applyAlignment="1" applyProtection="1">
      <alignment horizontal="center"/>
      <protection locked="0"/>
    </xf>
    <xf numFmtId="167" fontId="0" fillId="0" borderId="0" xfId="0" applyNumberFormat="1" applyFill="1" applyAlignment="1" applyProtection="1">
      <alignment horizontal="center"/>
    </xf>
    <xf numFmtId="49" fontId="0" fillId="13" borderId="2" xfId="0" applyNumberFormat="1" applyFill="1" applyBorder="1" applyAlignment="1" applyProtection="1">
      <alignment horizontal="center"/>
      <protection locked="0"/>
    </xf>
    <xf numFmtId="49" fontId="0" fillId="13" borderId="1" xfId="0" applyNumberFormat="1" applyFill="1" applyBorder="1" applyAlignment="1" applyProtection="1">
      <alignment horizontal="center"/>
      <protection locked="0"/>
    </xf>
    <xf numFmtId="0" fontId="0" fillId="10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1" fillId="2" borderId="2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9" fontId="0" fillId="0" borderId="0" xfId="0" applyNumberFormat="1" applyFill="1" applyAlignment="1" applyProtection="1">
      <alignment horizontal="left"/>
    </xf>
    <xf numFmtId="0" fontId="21" fillId="0" borderId="0" xfId="0" applyNumberFormat="1" applyFont="1" applyFill="1" applyAlignment="1" applyProtection="1">
      <alignment horizontal="left"/>
    </xf>
    <xf numFmtId="49" fontId="1" fillId="10" borderId="2" xfId="0" applyNumberFormat="1" applyFont="1" applyFill="1" applyBorder="1" applyAlignment="1" applyProtection="1">
      <alignment horizontal="center"/>
      <protection locked="0"/>
    </xf>
    <xf numFmtId="1" fontId="0" fillId="10" borderId="2" xfId="0" applyNumberFormat="1" applyFill="1" applyBorder="1" applyAlignment="1" applyProtection="1">
      <alignment horizontal="center"/>
      <protection locked="0"/>
    </xf>
    <xf numFmtId="0" fontId="11" fillId="0" borderId="0" xfId="0" applyNumberFormat="1" applyFont="1" applyFill="1" applyAlignment="1" applyProtection="1">
      <alignment horizontal="center"/>
    </xf>
    <xf numFmtId="164" fontId="1" fillId="0" borderId="0" xfId="0" applyNumberFormat="1" applyFont="1" applyFill="1" applyAlignment="1" applyProtection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4" fillId="0" borderId="0" xfId="0" applyNumberFormat="1" applyFont="1" applyFill="1" applyAlignment="1" applyProtection="1">
      <alignment horizontal="left"/>
    </xf>
    <xf numFmtId="164" fontId="0" fillId="9" borderId="2" xfId="0" applyNumberFormat="1" applyFill="1" applyBorder="1" applyAlignment="1" applyProtection="1">
      <alignment horizontal="center"/>
    </xf>
    <xf numFmtId="0" fontId="7" fillId="2" borderId="1" xfId="0" applyNumberFormat="1" applyFont="1" applyFill="1" applyBorder="1" applyAlignment="1" applyProtection="1">
      <alignment horizontal="center"/>
      <protection locked="0"/>
    </xf>
    <xf numFmtId="1" fontId="17" fillId="10" borderId="1" xfId="0" applyNumberFormat="1" applyFont="1" applyFill="1" applyBorder="1" applyAlignment="1" applyProtection="1">
      <alignment horizontal="center"/>
      <protection locked="0"/>
    </xf>
    <xf numFmtId="0" fontId="17" fillId="0" borderId="0" xfId="0" applyNumberFormat="1" applyFont="1" applyFill="1" applyAlignment="1" applyProtection="1">
      <alignment horizontal="center"/>
    </xf>
    <xf numFmtId="165" fontId="0" fillId="10" borderId="1" xfId="0" applyNumberFormat="1" applyFill="1" applyBorder="1" applyAlignment="1" applyProtection="1">
      <alignment horizontal="center"/>
      <protection locked="0"/>
    </xf>
    <xf numFmtId="164" fontId="0" fillId="0" borderId="0" xfId="0" applyNumberFormat="1" applyFill="1" applyAlignment="1" applyProtection="1">
      <alignment horizontal="center"/>
    </xf>
    <xf numFmtId="0" fontId="11" fillId="10" borderId="0" xfId="0" applyNumberFormat="1" applyFont="1" applyFill="1" applyAlignment="1" applyProtection="1">
      <alignment horizontal="left"/>
    </xf>
    <xf numFmtId="49" fontId="17" fillId="2" borderId="2" xfId="0" applyNumberFormat="1" applyFont="1" applyFill="1" applyBorder="1" applyAlignment="1" applyProtection="1">
      <alignment horizontal="center"/>
      <protection locked="0"/>
    </xf>
    <xf numFmtId="49" fontId="17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Alignment="1" applyProtection="1">
      <alignment horizontal="center"/>
    </xf>
    <xf numFmtId="0" fontId="29" fillId="0" borderId="0" xfId="0" applyNumberFormat="1" applyFont="1" applyFill="1" applyAlignment="1" applyProtection="1">
      <alignment horizontal="left" vertical="top"/>
    </xf>
    <xf numFmtId="0" fontId="9" fillId="4" borderId="1" xfId="0" applyNumberFormat="1" applyFont="1" applyFill="1" applyBorder="1" applyAlignment="1" applyProtection="1">
      <alignment horizontal="center"/>
      <protection locked="0"/>
    </xf>
    <xf numFmtId="0" fontId="20" fillId="0" borderId="0" xfId="0" applyNumberFormat="1" applyFont="1" applyFill="1" applyAlignment="1" applyProtection="1">
      <alignment horizontal="left"/>
    </xf>
    <xf numFmtId="1" fontId="0" fillId="0" borderId="0" xfId="0" applyNumberFormat="1" applyFill="1" applyAlignment="1" applyProtection="1"/>
    <xf numFmtId="14" fontId="0" fillId="0" borderId="0" xfId="0" applyNumberFormat="1" applyFill="1" applyAlignment="1" applyProtection="1"/>
    <xf numFmtId="9" fontId="0" fillId="0" borderId="0" xfId="0" applyNumberFormat="1" applyFill="1" applyAlignment="1" applyProtection="1"/>
    <xf numFmtId="2" fontId="0" fillId="0" borderId="0" xfId="0" applyNumberFormat="1" applyFill="1" applyAlignment="1" applyProtection="1"/>
    <xf numFmtId="3" fontId="0" fillId="0" borderId="0" xfId="0" applyNumberFormat="1" applyFill="1" applyAlignment="1" applyProtection="1"/>
    <xf numFmtId="0" fontId="27" fillId="0" borderId="0" xfId="0" applyNumberFormat="1" applyFont="1" applyFill="1" applyAlignment="1" applyProtection="1"/>
    <xf numFmtId="0" fontId="46" fillId="0" borderId="0" xfId="0" applyNumberFormat="1" applyFont="1" applyFill="1" applyAlignment="1" applyProtection="1"/>
    <xf numFmtId="0" fontId="33" fillId="0" borderId="0" xfId="0" applyNumberFormat="1" applyFont="1" applyFill="1" applyAlignment="1" applyProtection="1"/>
    <xf numFmtId="0" fontId="47" fillId="15" borderId="0" xfId="0" applyNumberFormat="1" applyFont="1" applyFill="1" applyAlignment="1" applyProtection="1"/>
    <xf numFmtId="0" fontId="33" fillId="15" borderId="0" xfId="0" applyNumberFormat="1" applyFont="1" applyFill="1" applyAlignment="1" applyProtection="1"/>
    <xf numFmtId="0" fontId="33" fillId="0" borderId="1" xfId="0" applyNumberFormat="1" applyFont="1" applyFill="1" applyBorder="1" applyAlignment="1" applyProtection="1">
      <alignment horizontal="left"/>
    </xf>
    <xf numFmtId="1" fontId="9" fillId="15" borderId="1" xfId="0" applyNumberFormat="1" applyFont="1" applyFill="1" applyBorder="1" applyAlignment="1" applyProtection="1">
      <alignment horizontal="center"/>
    </xf>
    <xf numFmtId="3" fontId="9" fillId="15" borderId="3" xfId="0" applyNumberFormat="1" applyFont="1" applyFill="1" applyBorder="1" applyAlignment="1" applyProtection="1">
      <alignment horizontal="center"/>
    </xf>
    <xf numFmtId="0" fontId="32" fillId="0" borderId="0" xfId="0" applyNumberFormat="1" applyFont="1" applyFill="1" applyAlignment="1" applyProtection="1"/>
    <xf numFmtId="0" fontId="9" fillId="15" borderId="1" xfId="0" applyNumberFormat="1" applyFont="1" applyFill="1" applyBorder="1" applyAlignment="1" applyProtection="1">
      <alignment horizontal="center"/>
    </xf>
    <xf numFmtId="164" fontId="32" fillId="0" borderId="0" xfId="0" applyNumberFormat="1" applyFont="1" applyFill="1" applyAlignment="1" applyProtection="1"/>
    <xf numFmtId="2" fontId="9" fillId="15" borderId="1" xfId="0" applyNumberFormat="1" applyFont="1" applyFill="1" applyBorder="1" applyAlignment="1" applyProtection="1">
      <alignment horizontal="center"/>
    </xf>
    <xf numFmtId="9" fontId="9" fillId="15" borderId="1" xfId="0" applyNumberFormat="1" applyFont="1" applyFill="1" applyBorder="1" applyAlignment="1" applyProtection="1">
      <alignment horizontal="center"/>
    </xf>
    <xf numFmtId="164" fontId="9" fillId="15" borderId="1" xfId="0" applyNumberFormat="1" applyFont="1" applyFill="1" applyBorder="1" applyAlignment="1" applyProtection="1">
      <alignment horizontal="center"/>
    </xf>
    <xf numFmtId="0" fontId="34" fillId="0" borderId="0" xfId="0" applyNumberFormat="1" applyFont="1" applyFill="1" applyAlignment="1" applyProtection="1"/>
    <xf numFmtId="0" fontId="9" fillId="18" borderId="1" xfId="0" applyNumberFormat="1" applyFont="1" applyFill="1" applyBorder="1" applyAlignment="1" applyProtection="1">
      <alignment horizontal="center"/>
      <protection locked="0"/>
    </xf>
    <xf numFmtId="0" fontId="33" fillId="19" borderId="34" xfId="0" applyNumberFormat="1" applyFont="1" applyFill="1" applyBorder="1" applyAlignment="1" applyProtection="1"/>
    <xf numFmtId="0" fontId="26" fillId="0" borderId="0" xfId="0" applyNumberFormat="1" applyFont="1" applyFill="1" applyAlignment="1" applyProtection="1">
      <alignment wrapText="1"/>
    </xf>
    <xf numFmtId="0" fontId="27" fillId="19" borderId="34" xfId="0" applyNumberFormat="1" applyFont="1" applyFill="1" applyBorder="1" applyAlignment="1" applyProtection="1">
      <alignment wrapText="1"/>
    </xf>
    <xf numFmtId="9" fontId="27" fillId="0" borderId="0" xfId="0" applyNumberFormat="1" applyFont="1" applyFill="1" applyAlignment="1" applyProtection="1"/>
    <xf numFmtId="2" fontId="27" fillId="0" borderId="0" xfId="0" applyNumberFormat="1" applyFont="1" applyFill="1" applyAlignment="1" applyProtection="1">
      <alignment horizontal="center"/>
    </xf>
    <xf numFmtId="9" fontId="27" fillId="0" borderId="0" xfId="0" applyNumberFormat="1" applyFont="1" applyFill="1" applyAlignment="1" applyProtection="1">
      <alignment horizontal="center"/>
    </xf>
    <xf numFmtId="2" fontId="27" fillId="0" borderId="0" xfId="0" applyNumberFormat="1" applyFont="1" applyFill="1" applyAlignment="1" applyProtection="1"/>
    <xf numFmtId="9" fontId="27" fillId="19" borderId="1" xfId="0" applyNumberFormat="1" applyFont="1" applyFill="1" applyBorder="1" applyAlignment="1" applyProtection="1">
      <protection locked="0"/>
    </xf>
    <xf numFmtId="9" fontId="33" fillId="15" borderId="0" xfId="0" applyNumberFormat="1" applyFont="1" applyFill="1" applyAlignment="1" applyProtection="1"/>
    <xf numFmtId="0" fontId="47" fillId="0" borderId="0" xfId="0" applyNumberFormat="1" applyFont="1" applyFill="1" applyAlignment="1" applyProtection="1"/>
    <xf numFmtId="0" fontId="33" fillId="0" borderId="0" xfId="0" applyNumberFormat="1" applyFont="1" applyFill="1" applyAlignment="1" applyProtection="1">
      <alignment horizontal="center" vertical="center" wrapText="1"/>
    </xf>
    <xf numFmtId="0" fontId="27" fillId="15" borderId="0" xfId="0" applyNumberFormat="1" applyFont="1" applyFill="1" applyAlignment="1" applyProtection="1">
      <alignment horizontal="center" vertical="center"/>
    </xf>
    <xf numFmtId="1" fontId="27" fillId="0" borderId="0" xfId="0" applyNumberFormat="1" applyFont="1" applyFill="1" applyAlignment="1" applyProtection="1">
      <alignment horizontal="center" vertical="center"/>
    </xf>
    <xf numFmtId="2" fontId="27" fillId="19" borderId="1" xfId="0" applyNumberFormat="1" applyFont="1" applyFill="1" applyBorder="1" applyAlignment="1" applyProtection="1">
      <alignment horizontal="center" vertical="center"/>
      <protection locked="0"/>
    </xf>
    <xf numFmtId="164" fontId="27" fillId="0" borderId="0" xfId="0" applyNumberFormat="1" applyFont="1" applyFill="1" applyAlignment="1" applyProtection="1">
      <alignment horizontal="center" vertical="center"/>
    </xf>
    <xf numFmtId="168" fontId="26" fillId="0" borderId="0" xfId="0" applyNumberFormat="1" applyFont="1" applyFill="1" applyAlignment="1" applyProtection="1">
      <alignment horizontal="center" vertical="center"/>
    </xf>
    <xf numFmtId="9" fontId="9" fillId="18" borderId="1" xfId="0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Fill="1" applyAlignment="1" applyProtection="1">
      <alignment horizontal="left" vertical="top" wrapText="1"/>
    </xf>
    <xf numFmtId="0" fontId="46" fillId="0" borderId="0" xfId="0" applyNumberFormat="1" applyFont="1" applyFill="1" applyAlignment="1" applyProtection="1">
      <alignment horizontal="right"/>
    </xf>
    <xf numFmtId="0" fontId="46" fillId="0" borderId="0" xfId="0" applyNumberFormat="1" applyFont="1" applyFill="1" applyAlignment="1" applyProtection="1">
      <alignment horizontal="center"/>
    </xf>
    <xf numFmtId="0" fontId="26" fillId="0" borderId="0" xfId="0" applyNumberFormat="1" applyFont="1" applyFill="1" applyAlignment="1" applyProtection="1">
      <alignment horizontal="center"/>
    </xf>
    <xf numFmtId="1" fontId="27" fillId="15" borderId="1" xfId="0" applyNumberFormat="1" applyFont="1" applyFill="1" applyBorder="1" applyAlignment="1" applyProtection="1"/>
    <xf numFmtId="0" fontId="27" fillId="0" borderId="0" xfId="0" applyNumberFormat="1" applyFont="1" applyFill="1" applyAlignment="1" applyProtection="1">
      <alignment horizontal="center"/>
    </xf>
    <xf numFmtId="0" fontId="27" fillId="15" borderId="1" xfId="0" applyNumberFormat="1" applyFont="1" applyFill="1" applyBorder="1" applyAlignment="1" applyProtection="1"/>
    <xf numFmtId="1" fontId="33" fillId="0" borderId="0" xfId="0" applyNumberFormat="1" applyFont="1" applyFill="1" applyAlignment="1" applyProtection="1">
      <alignment horizontal="center"/>
    </xf>
    <xf numFmtId="164" fontId="33" fillId="0" borderId="0" xfId="0" applyNumberFormat="1" applyFont="1" applyFill="1" applyAlignment="1" applyProtection="1"/>
    <xf numFmtId="164" fontId="34" fillId="0" borderId="0" xfId="0" applyNumberFormat="1" applyFont="1" applyFill="1" applyAlignment="1" applyProtection="1"/>
    <xf numFmtId="9" fontId="34" fillId="0" borderId="0" xfId="0" applyNumberFormat="1" applyFont="1" applyFill="1" applyAlignment="1" applyProtection="1"/>
    <xf numFmtId="164" fontId="33" fillId="0" borderId="0" xfId="0" applyNumberFormat="1" applyFont="1" applyFill="1" applyAlignment="1" applyProtection="1">
      <alignment horizontal="center"/>
    </xf>
    <xf numFmtId="1" fontId="33" fillId="15" borderId="0" xfId="0" applyNumberFormat="1" applyFont="1" applyFill="1" applyAlignment="1" applyProtection="1">
      <alignment horizontal="center"/>
    </xf>
    <xf numFmtId="0" fontId="27" fillId="20" borderId="1" xfId="0" applyNumberFormat="1" applyFont="1" applyFill="1" applyBorder="1" applyAlignment="1" applyProtection="1"/>
    <xf numFmtId="0" fontId="26" fillId="20" borderId="1" xfId="0" applyNumberFormat="1" applyFont="1" applyFill="1" applyBorder="1" applyAlignment="1" applyProtection="1"/>
    <xf numFmtId="1" fontId="27" fillId="20" borderId="1" xfId="0" applyNumberFormat="1" applyFont="1" applyFill="1" applyBorder="1" applyAlignment="1" applyProtection="1"/>
    <xf numFmtId="0" fontId="26" fillId="0" borderId="0" xfId="0" applyNumberFormat="1" applyFont="1" applyFill="1" applyAlignment="1" applyProtection="1"/>
    <xf numFmtId="14" fontId="0" fillId="15" borderId="8" xfId="0" applyNumberFormat="1" applyFill="1" applyBorder="1" applyAlignment="1" applyProtection="1">
      <alignment horizontal="left"/>
      <protection locked="0"/>
    </xf>
    <xf numFmtId="10" fontId="0" fillId="0" borderId="0" xfId="0" applyNumberFormat="1" applyFill="1" applyAlignment="1" applyProtection="1"/>
    <xf numFmtId="10" fontId="26" fillId="16" borderId="27" xfId="0" applyNumberFormat="1" applyFont="1" applyFill="1" applyBorder="1" applyAlignment="1" applyProtection="1">
      <alignment wrapText="1"/>
    </xf>
    <xf numFmtId="14" fontId="26" fillId="16" borderId="27" xfId="0" applyNumberFormat="1" applyFont="1" applyFill="1" applyBorder="1" applyAlignment="1" applyProtection="1">
      <alignment wrapText="1"/>
      <protection hidden="1"/>
    </xf>
    <xf numFmtId="0" fontId="26" fillId="16" borderId="27" xfId="0" applyNumberFormat="1" applyFont="1" applyFill="1" applyBorder="1" applyAlignment="1" applyProtection="1">
      <alignment wrapText="1"/>
      <protection hidden="1"/>
    </xf>
    <xf numFmtId="0" fontId="26" fillId="16" borderId="26" xfId="0" applyNumberFormat="1" applyFont="1" applyFill="1" applyBorder="1" applyAlignment="1" applyProtection="1">
      <alignment wrapText="1"/>
      <protection hidden="1"/>
    </xf>
    <xf numFmtId="0" fontId="33" fillId="15" borderId="20" xfId="0" applyNumberFormat="1" applyFont="1" applyFill="1" applyBorder="1" applyAlignment="1" applyProtection="1">
      <protection locked="0"/>
    </xf>
    <xf numFmtId="0" fontId="19" fillId="15" borderId="8" xfId="0" applyNumberFormat="1" applyFont="1" applyFill="1" applyBorder="1" applyAlignment="1" applyProtection="1">
      <protection locked="0"/>
    </xf>
    <xf numFmtId="0" fontId="33" fillId="15" borderId="8" xfId="0" applyNumberFormat="1" applyFont="1" applyFill="1" applyBorder="1" applyAlignment="1" applyProtection="1">
      <protection locked="0"/>
    </xf>
    <xf numFmtId="0" fontId="0" fillId="15" borderId="8" xfId="0" applyNumberFormat="1" applyFill="1" applyBorder="1" applyAlignment="1" applyProtection="1"/>
    <xf numFmtId="0" fontId="0" fillId="15" borderId="8" xfId="0" applyNumberFormat="1" applyFill="1" applyBorder="1" applyAlignment="1" applyProtection="1">
      <protection locked="0"/>
    </xf>
    <xf numFmtId="14" fontId="0" fillId="15" borderId="8" xfId="0" applyNumberFormat="1" applyFill="1" applyBorder="1" applyAlignment="1" applyProtection="1">
      <protection locked="0"/>
    </xf>
    <xf numFmtId="10" fontId="0" fillId="16" borderId="8" xfId="0" applyNumberFormat="1" applyFill="1" applyBorder="1" applyAlignment="1" applyProtection="1"/>
    <xf numFmtId="2" fontId="0" fillId="16" borderId="8" xfId="0" applyNumberFormat="1" applyFill="1" applyBorder="1" applyAlignment="1" applyProtection="1">
      <protection hidden="1"/>
    </xf>
    <xf numFmtId="14" fontId="0" fillId="16" borderId="8" xfId="0" applyNumberFormat="1" applyFill="1" applyBorder="1" applyAlignment="1" applyProtection="1">
      <protection hidden="1"/>
    </xf>
    <xf numFmtId="0" fontId="0" fillId="16" borderId="21" xfId="0" applyNumberFormat="1" applyFill="1" applyBorder="1" applyAlignment="1" applyProtection="1">
      <protection locked="0" hidden="1"/>
    </xf>
    <xf numFmtId="0" fontId="33" fillId="15" borderId="15" xfId="0" applyNumberFormat="1" applyFont="1" applyFill="1" applyBorder="1" applyAlignment="1" applyProtection="1">
      <protection locked="0"/>
    </xf>
    <xf numFmtId="0" fontId="19" fillId="15" borderId="1" xfId="0" applyNumberFormat="1" applyFont="1" applyFill="1" applyBorder="1" applyAlignment="1" applyProtection="1">
      <protection locked="0"/>
    </xf>
    <xf numFmtId="0" fontId="33" fillId="15" borderId="1" xfId="0" applyNumberFormat="1" applyFont="1" applyFill="1" applyBorder="1" applyAlignment="1" applyProtection="1">
      <protection locked="0"/>
    </xf>
    <xf numFmtId="0" fontId="0" fillId="15" borderId="1" xfId="0" applyNumberFormat="1" applyFill="1" applyBorder="1" applyAlignment="1" applyProtection="1"/>
    <xf numFmtId="0" fontId="0" fillId="15" borderId="1" xfId="0" applyNumberFormat="1" applyFill="1" applyBorder="1" applyAlignment="1" applyProtection="1">
      <protection locked="0"/>
    </xf>
    <xf numFmtId="10" fontId="0" fillId="16" borderId="1" xfId="0" applyNumberFormat="1" applyFill="1" applyBorder="1" applyAlignment="1" applyProtection="1"/>
    <xf numFmtId="2" fontId="0" fillId="16" borderId="1" xfId="0" applyNumberFormat="1" applyFill="1" applyBorder="1" applyAlignment="1" applyProtection="1">
      <protection hidden="1"/>
    </xf>
    <xf numFmtId="0" fontId="0" fillId="16" borderId="16" xfId="0" applyNumberFormat="1" applyFill="1" applyBorder="1" applyAlignment="1" applyProtection="1">
      <protection locked="0" hidden="1"/>
    </xf>
    <xf numFmtId="0" fontId="33" fillId="15" borderId="17" xfId="0" applyNumberFormat="1" applyFont="1" applyFill="1" applyBorder="1" applyAlignment="1" applyProtection="1">
      <protection locked="0"/>
    </xf>
    <xf numFmtId="0" fontId="19" fillId="15" borderId="6" xfId="0" applyNumberFormat="1" applyFont="1" applyFill="1" applyBorder="1" applyAlignment="1" applyProtection="1">
      <protection locked="0"/>
    </xf>
    <xf numFmtId="0" fontId="33" fillId="15" borderId="6" xfId="0" applyNumberFormat="1" applyFont="1" applyFill="1" applyBorder="1" applyAlignment="1" applyProtection="1">
      <protection locked="0"/>
    </xf>
    <xf numFmtId="0" fontId="0" fillId="15" borderId="6" xfId="0" applyNumberFormat="1" applyFill="1" applyBorder="1" applyAlignment="1" applyProtection="1"/>
    <xf numFmtId="0" fontId="0" fillId="15" borderId="6" xfId="0" applyNumberFormat="1" applyFill="1" applyBorder="1" applyAlignment="1" applyProtection="1">
      <protection locked="0"/>
    </xf>
    <xf numFmtId="10" fontId="0" fillId="16" borderId="6" xfId="0" applyNumberFormat="1" applyFill="1" applyBorder="1" applyAlignment="1" applyProtection="1"/>
    <xf numFmtId="2" fontId="0" fillId="16" borderId="6" xfId="0" applyNumberFormat="1" applyFill="1" applyBorder="1" applyAlignment="1" applyProtection="1">
      <protection hidden="1"/>
    </xf>
    <xf numFmtId="0" fontId="0" fillId="16" borderId="18" xfId="0" applyNumberFormat="1" applyFill="1" applyBorder="1" applyAlignment="1" applyProtection="1">
      <protection locked="0" hidden="1"/>
    </xf>
    <xf numFmtId="10" fontId="1" fillId="16" borderId="24" xfId="0" applyNumberFormat="1" applyFont="1" applyFill="1" applyBorder="1" applyAlignment="1" applyProtection="1"/>
    <xf numFmtId="2" fontId="1" fillId="16" borderId="24" xfId="0" applyNumberFormat="1" applyFont="1" applyFill="1" applyBorder="1" applyAlignment="1" applyProtection="1">
      <protection hidden="1"/>
    </xf>
    <xf numFmtId="14" fontId="1" fillId="16" borderId="24" xfId="0" applyNumberFormat="1" applyFont="1" applyFill="1" applyBorder="1" applyAlignment="1" applyProtection="1">
      <protection hidden="1"/>
    </xf>
    <xf numFmtId="0" fontId="1" fillId="16" borderId="25" xfId="0" applyNumberFormat="1" applyFont="1" applyFill="1" applyBorder="1" applyAlignment="1" applyProtection="1">
      <protection hidden="1"/>
    </xf>
    <xf numFmtId="1" fontId="0" fillId="15" borderId="8" xfId="0" applyNumberFormat="1" applyFill="1" applyBorder="1" applyAlignment="1" applyProtection="1">
      <alignment horizontal="left"/>
      <protection locked="0"/>
    </xf>
    <xf numFmtId="1" fontId="0" fillId="15" borderId="1" xfId="0" applyNumberFormat="1" applyFill="1" applyBorder="1" applyAlignment="1" applyProtection="1">
      <alignment horizontal="left"/>
      <protection locked="0"/>
    </xf>
    <xf numFmtId="0" fontId="1" fillId="0" borderId="0" xfId="0" applyNumberFormat="1" applyFont="1" applyFill="1" applyAlignment="1" applyProtection="1"/>
    <xf numFmtId="0" fontId="30" fillId="4" borderId="5" xfId="0" applyNumberFormat="1" applyFont="1" applyFill="1" applyBorder="1" applyAlignment="1" applyProtection="1">
      <alignment horizontal="left" wrapText="1"/>
      <protection locked="0"/>
    </xf>
    <xf numFmtId="0" fontId="23" fillId="19" borderId="9" xfId="0" applyNumberFormat="1" applyFont="1" applyFill="1" applyBorder="1" applyAlignment="1" applyProtection="1">
      <alignment horizontal="center" vertical="top" wrapText="1"/>
    </xf>
    <xf numFmtId="0" fontId="23" fillId="19" borderId="11" xfId="0" applyNumberFormat="1" applyFont="1" applyFill="1" applyBorder="1" applyAlignment="1" applyProtection="1">
      <alignment horizontal="center" vertical="top" wrapText="1"/>
    </xf>
    <xf numFmtId="0" fontId="23" fillId="19" borderId="12" xfId="0" applyNumberFormat="1" applyFont="1" applyFill="1" applyBorder="1" applyAlignment="1" applyProtection="1">
      <alignment horizontal="center" vertical="top" wrapText="1"/>
    </xf>
    <xf numFmtId="0" fontId="23" fillId="19" borderId="33" xfId="0" applyNumberFormat="1" applyFont="1" applyFill="1" applyBorder="1" applyAlignment="1" applyProtection="1">
      <alignment horizontal="center" vertical="top" wrapText="1"/>
    </xf>
    <xf numFmtId="0" fontId="23" fillId="19" borderId="0" xfId="0" applyNumberFormat="1" applyFont="1" applyFill="1" applyAlignment="1" applyProtection="1">
      <alignment horizontal="center" vertical="top" wrapText="1"/>
    </xf>
    <xf numFmtId="0" fontId="23" fillId="19" borderId="14" xfId="0" applyNumberFormat="1" applyFont="1" applyFill="1" applyBorder="1" applyAlignment="1" applyProtection="1">
      <alignment horizontal="center" vertical="top" wrapText="1"/>
    </xf>
    <xf numFmtId="0" fontId="23" fillId="19" borderId="10" xfId="0" applyNumberFormat="1" applyFont="1" applyFill="1" applyBorder="1" applyAlignment="1" applyProtection="1">
      <alignment horizontal="center" vertical="top" wrapText="1"/>
    </xf>
    <xf numFmtId="0" fontId="23" fillId="19" borderId="5" xfId="0" applyNumberFormat="1" applyFont="1" applyFill="1" applyBorder="1" applyAlignment="1" applyProtection="1">
      <alignment horizontal="center" vertical="top" wrapText="1"/>
    </xf>
    <xf numFmtId="0" fontId="23" fillId="19" borderId="13" xfId="0" applyNumberFormat="1" applyFont="1" applyFill="1" applyBorder="1" applyAlignment="1" applyProtection="1">
      <alignment horizontal="center" vertical="top" wrapText="1"/>
    </xf>
    <xf numFmtId="0" fontId="12" fillId="6" borderId="0" xfId="0" applyNumberFormat="1" applyFont="1" applyFill="1" applyAlignment="1" applyProtection="1">
      <alignment horizontal="left"/>
    </xf>
    <xf numFmtId="0" fontId="12" fillId="5" borderId="0" xfId="0" applyNumberFormat="1" applyFont="1" applyFill="1" applyAlignment="1" applyProtection="1">
      <alignment horizontal="left"/>
    </xf>
    <xf numFmtId="0" fontId="15" fillId="0" borderId="0" xfId="0" applyNumberFormat="1" applyFont="1" applyFill="1" applyAlignment="1" applyProtection="1">
      <alignment horizontal="left"/>
    </xf>
    <xf numFmtId="0" fontId="15" fillId="0" borderId="14" xfId="0" applyFont="1" applyFill="1" applyBorder="1" applyAlignment="1" applyProtection="1">
      <alignment horizontal="left"/>
    </xf>
    <xf numFmtId="0" fontId="12" fillId="8" borderId="0" xfId="0" applyNumberFormat="1" applyFont="1" applyFill="1" applyAlignment="1" applyProtection="1">
      <alignment horizontal="left"/>
    </xf>
    <xf numFmtId="0" fontId="7" fillId="0" borderId="1" xfId="0" applyFont="1" applyFill="1" applyBorder="1" applyAlignment="1" applyProtection="1">
      <alignment horizontal="left"/>
    </xf>
    <xf numFmtId="0" fontId="11" fillId="0" borderId="0" xfId="0" applyNumberFormat="1" applyFont="1" applyFill="1" applyAlignment="1" applyProtection="1">
      <alignment horizontal="left"/>
    </xf>
    <xf numFmtId="49" fontId="0" fillId="3" borderId="5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0" borderId="0" xfId="0" applyNumberFormat="1" applyFont="1" applyFill="1" applyAlignment="1" applyProtection="1">
      <alignment horizontal="left"/>
    </xf>
    <xf numFmtId="0" fontId="1" fillId="0" borderId="14" xfId="0" applyFont="1" applyFill="1" applyBorder="1" applyAlignment="1" applyProtection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1" fillId="0" borderId="3" xfId="2" applyFont="1" applyFill="1" applyBorder="1" applyAlignment="1" applyProtection="1">
      <alignment horizontal="center"/>
    </xf>
    <xf numFmtId="0" fontId="1" fillId="0" borderId="2" xfId="2" applyFont="1" applyFill="1" applyBorder="1" applyAlignment="1" applyProtection="1">
      <alignment horizontal="center"/>
    </xf>
    <xf numFmtId="0" fontId="7" fillId="10" borderId="3" xfId="0" applyNumberFormat="1" applyFont="1" applyFill="1" applyBorder="1" applyAlignment="1" applyProtection="1">
      <alignment horizontal="left"/>
      <protection locked="0"/>
    </xf>
    <xf numFmtId="0" fontId="7" fillId="10" borderId="4" xfId="0" applyNumberFormat="1" applyFont="1" applyFill="1" applyBorder="1" applyAlignment="1" applyProtection="1">
      <alignment horizontal="left"/>
      <protection locked="0"/>
    </xf>
    <xf numFmtId="0" fontId="7" fillId="10" borderId="2" xfId="0" applyNumberFormat="1" applyFont="1" applyFill="1" applyBorder="1" applyAlignment="1" applyProtection="1">
      <alignment horizontal="left"/>
      <protection locked="0"/>
    </xf>
    <xf numFmtId="0" fontId="16" fillId="7" borderId="0" xfId="0" applyNumberFormat="1" applyFont="1" applyFill="1" applyAlignment="1" applyProtection="1">
      <alignment horizontal="left" wrapText="1"/>
    </xf>
    <xf numFmtId="0" fontId="16" fillId="5" borderId="0" xfId="0" applyNumberFormat="1" applyFont="1" applyFill="1" applyAlignment="1" applyProtection="1">
      <alignment horizontal="left" wrapText="1"/>
    </xf>
    <xf numFmtId="0" fontId="16" fillId="8" borderId="0" xfId="0" applyNumberFormat="1" applyFont="1" applyFill="1" applyAlignment="1" applyProtection="1">
      <alignment horizontal="left" wrapText="1"/>
    </xf>
    <xf numFmtId="0" fontId="16" fillId="6" borderId="0" xfId="0" applyNumberFormat="1" applyFont="1" applyFill="1" applyAlignment="1" applyProtection="1">
      <alignment horizontal="left" wrapText="1"/>
    </xf>
    <xf numFmtId="0" fontId="10" fillId="11" borderId="0" xfId="0" applyNumberFormat="1" applyFont="1" applyFill="1" applyAlignment="1" applyProtection="1">
      <alignment horizontal="left" wrapText="1"/>
    </xf>
    <xf numFmtId="49" fontId="0" fillId="2" borderId="9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49" fontId="0" fillId="3" borderId="4" xfId="0" applyNumberFormat="1" applyFill="1" applyBorder="1" applyAlignment="1" applyProtection="1">
      <alignment horizontal="left"/>
      <protection locked="0"/>
    </xf>
    <xf numFmtId="49" fontId="0" fillId="0" borderId="4" xfId="0" applyNumberFormat="1" applyFill="1" applyBorder="1" applyAlignment="1" applyProtection="1">
      <alignment horizontal="left"/>
      <protection locked="0"/>
    </xf>
    <xf numFmtId="0" fontId="0" fillId="10" borderId="1" xfId="0" applyNumberFormat="1" applyFill="1" applyBorder="1" applyAlignment="1" applyProtection="1">
      <alignment horizontal="right"/>
      <protection locked="0"/>
    </xf>
    <xf numFmtId="49" fontId="0" fillId="0" borderId="5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left"/>
      <protection locked="0"/>
    </xf>
    <xf numFmtId="0" fontId="0" fillId="4" borderId="5" xfId="0" applyNumberFormat="1" applyFill="1" applyBorder="1" applyAlignment="1" applyProtection="1">
      <alignment horizontal="left"/>
      <protection locked="0"/>
    </xf>
    <xf numFmtId="14" fontId="7" fillId="10" borderId="3" xfId="0" applyNumberFormat="1" applyFont="1" applyFill="1" applyBorder="1" applyAlignment="1" applyProtection="1">
      <alignment horizontal="center"/>
      <protection locked="0"/>
    </xf>
    <xf numFmtId="14" fontId="7" fillId="10" borderId="4" xfId="0" applyNumberFormat="1" applyFont="1" applyFill="1" applyBorder="1" applyAlignment="1" applyProtection="1">
      <alignment horizontal="center"/>
      <protection locked="0"/>
    </xf>
    <xf numFmtId="14" fontId="7" fillId="10" borderId="2" xfId="0" applyNumberFormat="1" applyFont="1" applyFill="1" applyBorder="1" applyAlignment="1" applyProtection="1">
      <alignment horizontal="center"/>
      <protection locked="0"/>
    </xf>
    <xf numFmtId="0" fontId="12" fillId="7" borderId="0" xfId="0" applyNumberFormat="1" applyFont="1" applyFill="1" applyAlignment="1" applyProtection="1">
      <alignment horizontal="left"/>
    </xf>
    <xf numFmtId="49" fontId="1" fillId="2" borderId="5" xfId="0" applyNumberFormat="1" applyFont="1" applyFill="1" applyBorder="1" applyAlignment="1" applyProtection="1">
      <alignment horizontal="left"/>
      <protection locked="0"/>
    </xf>
    <xf numFmtId="0" fontId="1" fillId="10" borderId="3" xfId="0" applyNumberFormat="1" applyFont="1" applyFill="1" applyBorder="1" applyAlignment="1" applyProtection="1">
      <alignment horizontal="left"/>
      <protection locked="0"/>
    </xf>
    <xf numFmtId="0" fontId="1" fillId="10" borderId="4" xfId="0" applyNumberFormat="1" applyFont="1" applyFill="1" applyBorder="1" applyAlignment="1" applyProtection="1">
      <alignment horizontal="left"/>
      <protection locked="0"/>
    </xf>
    <xf numFmtId="0" fontId="1" fillId="10" borderId="2" xfId="0" applyNumberFormat="1" applyFont="1" applyFill="1" applyBorder="1" applyAlignment="1" applyProtection="1">
      <alignment horizontal="left"/>
      <protection locked="0"/>
    </xf>
    <xf numFmtId="49" fontId="7" fillId="10" borderId="3" xfId="0" applyNumberFormat="1" applyFont="1" applyFill="1" applyBorder="1" applyAlignment="1" applyProtection="1">
      <alignment horizontal="left"/>
      <protection locked="0"/>
    </xf>
    <xf numFmtId="49" fontId="7" fillId="10" borderId="4" xfId="0" applyNumberFormat="1" applyFont="1" applyFill="1" applyBorder="1" applyAlignment="1" applyProtection="1">
      <alignment horizontal="left"/>
      <protection locked="0"/>
    </xf>
    <xf numFmtId="49" fontId="7" fillId="10" borderId="2" xfId="0" applyNumberFormat="1" applyFont="1" applyFill="1" applyBorder="1" applyAlignment="1" applyProtection="1">
      <alignment horizontal="left"/>
      <protection locked="0"/>
    </xf>
    <xf numFmtId="14" fontId="7" fillId="15" borderId="3" xfId="0" applyNumberFormat="1" applyFont="1" applyFill="1" applyBorder="1" applyAlignment="1" applyProtection="1">
      <alignment horizontal="center"/>
      <protection locked="0"/>
    </xf>
    <xf numFmtId="14" fontId="7" fillId="15" borderId="4" xfId="0" applyNumberFormat="1" applyFont="1" applyFill="1" applyBorder="1" applyAlignment="1" applyProtection="1">
      <alignment horizontal="center"/>
      <protection locked="0"/>
    </xf>
    <xf numFmtId="14" fontId="7" fillId="15" borderId="2" xfId="0" applyNumberFormat="1" applyFont="1" applyFill="1" applyBorder="1" applyAlignment="1" applyProtection="1">
      <alignment horizontal="center"/>
      <protection locked="0"/>
    </xf>
    <xf numFmtId="0" fontId="23" fillId="0" borderId="4" xfId="2" applyFont="1" applyFill="1" applyBorder="1" applyAlignment="1" applyProtection="1">
      <alignment horizontal="center" vertical="top" wrapText="1"/>
    </xf>
    <xf numFmtId="0" fontId="23" fillId="0" borderId="2" xfId="2" applyFont="1" applyFill="1" applyBorder="1" applyAlignment="1" applyProtection="1">
      <alignment horizontal="center" vertical="top" wrapText="1"/>
    </xf>
    <xf numFmtId="49" fontId="0" fillId="4" borderId="4" xfId="0" applyNumberFormat="1" applyFill="1" applyBorder="1" applyAlignment="1" applyProtection="1">
      <alignment horizontal="left"/>
      <protection locked="0"/>
    </xf>
    <xf numFmtId="0" fontId="12" fillId="11" borderId="0" xfId="0" applyNumberFormat="1" applyFont="1" applyFill="1" applyAlignment="1" applyProtection="1">
      <alignment horizontal="left"/>
    </xf>
    <xf numFmtId="0" fontId="14" fillId="0" borderId="0" xfId="0" applyNumberFormat="1" applyFont="1" applyFill="1" applyAlignment="1" applyProtection="1">
      <alignment horizontal="left"/>
    </xf>
    <xf numFmtId="14" fontId="9" fillId="10" borderId="3" xfId="0" applyNumberFormat="1" applyFont="1" applyFill="1" applyBorder="1" applyAlignment="1" applyProtection="1">
      <alignment horizontal="left"/>
      <protection locked="0"/>
    </xf>
    <xf numFmtId="14" fontId="9" fillId="10" borderId="2" xfId="0" applyNumberFormat="1" applyFont="1" applyFill="1" applyBorder="1" applyAlignment="1" applyProtection="1">
      <alignment horizontal="left"/>
      <protection locked="0"/>
    </xf>
    <xf numFmtId="0" fontId="33" fillId="4" borderId="5" xfId="0" applyNumberFormat="1" applyFont="1" applyFill="1" applyBorder="1" applyAlignment="1" applyProtection="1">
      <alignment horizontal="left"/>
      <protection locked="0"/>
    </xf>
    <xf numFmtId="49" fontId="9" fillId="10" borderId="3" xfId="0" applyNumberFormat="1" applyFont="1" applyFill="1" applyBorder="1" applyAlignment="1" applyProtection="1">
      <alignment horizontal="left"/>
      <protection locked="0"/>
    </xf>
    <xf numFmtId="49" fontId="9" fillId="10" borderId="2" xfId="0" applyNumberFormat="1" applyFont="1" applyFill="1" applyBorder="1" applyAlignment="1" applyProtection="1">
      <alignment horizontal="left"/>
      <protection locked="0"/>
    </xf>
    <xf numFmtId="0" fontId="9" fillId="10" borderId="3" xfId="0" applyNumberFormat="1" applyFont="1" applyFill="1" applyBorder="1" applyAlignment="1" applyProtection="1">
      <alignment horizontal="left"/>
      <protection locked="0"/>
    </xf>
    <xf numFmtId="0" fontId="9" fillId="10" borderId="4" xfId="0" applyNumberFormat="1" applyFont="1" applyFill="1" applyBorder="1" applyAlignment="1" applyProtection="1">
      <alignment horizontal="left"/>
      <protection locked="0"/>
    </xf>
    <xf numFmtId="0" fontId="9" fillId="10" borderId="2" xfId="0" applyNumberFormat="1" applyFont="1" applyFill="1" applyBorder="1" applyAlignment="1" applyProtection="1">
      <alignment horizontal="left"/>
      <protection locked="0"/>
    </xf>
    <xf numFmtId="49" fontId="17" fillId="3" borderId="5" xfId="0" applyNumberFormat="1" applyFont="1" applyFill="1" applyBorder="1" applyAlignment="1" applyProtection="1">
      <alignment horizontal="left"/>
      <protection locked="0"/>
    </xf>
    <xf numFmtId="49" fontId="17" fillId="3" borderId="4" xfId="0" applyNumberFormat="1" applyFont="1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0" fontId="1" fillId="0" borderId="0" xfId="0" applyNumberFormat="1" applyFont="1" applyFill="1" applyAlignment="1" applyProtection="1">
      <alignment horizontal="left" vertical="center"/>
    </xf>
    <xf numFmtId="0" fontId="30" fillId="18" borderId="5" xfId="0" applyNumberFormat="1" applyFont="1" applyFill="1" applyBorder="1" applyAlignment="1" applyProtection="1">
      <alignment horizontal="left" vertical="top" wrapText="1"/>
      <protection locked="0"/>
    </xf>
    <xf numFmtId="0" fontId="46" fillId="0" borderId="0" xfId="0" applyNumberFormat="1" applyFont="1" applyFill="1" applyAlignment="1" applyProtection="1">
      <alignment horizontal="left"/>
    </xf>
  </cellXfs>
  <cellStyles count="7">
    <cellStyle name="Format 1" xfId="3" xr:uid="{00000000-0005-0000-0000-000000000000}"/>
    <cellStyle name="Indata" xfId="2" builtinId="20"/>
    <cellStyle name="Indata 2" xfId="5" xr:uid="{00000000-0005-0000-0000-000002000000}"/>
    <cellStyle name="Normal" xfId="0" builtinId="0"/>
    <cellStyle name="Normal 2" xfId="4" xr:uid="{00000000-0005-0000-0000-000004000000}"/>
    <cellStyle name="Procent" xfId="1" builtinId="5"/>
    <cellStyle name="Procent 2" xfId="6" xr:uid="{00000000-0005-0000-0000-000006000000}"/>
  </cellStyles>
  <dxfs count="22">
    <dxf>
      <font>
        <color theme="0"/>
      </font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CC99"/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Observerad kalv / vuxet hondjur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'Beräkning avskjutning'!$A$31</c:f>
              <c:strCache>
                <c:ptCount val="1"/>
                <c:pt idx="0">
                  <c:v>Kalv/hondjur</c:v>
                </c:pt>
              </c:strCache>
            </c:strRef>
          </c:tx>
          <c:val>
            <c:numRef>
              <c:f>'Beräkning avskjutning'!$B$31:$E$31</c:f>
              <c:numCache>
                <c:formatCode>0.00</c:formatCode>
                <c:ptCount val="4"/>
                <c:pt idx="0">
                  <c:v>0.77</c:v>
                </c:pt>
                <c:pt idx="1">
                  <c:v>0.57499999999999996</c:v>
                </c:pt>
                <c:pt idx="2">
                  <c:v>0.63300000000000001</c:v>
                </c:pt>
                <c:pt idx="3">
                  <c:v>0.68100000000000005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'Beräkning avskjutning'!$B$29:$E$29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893-4F15-92E2-4C8330744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614144"/>
        <c:axId val="152694784"/>
      </c:lineChart>
      <c:catAx>
        <c:axId val="17061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694784"/>
        <c:crosses val="autoZero"/>
        <c:auto val="1"/>
        <c:lblAlgn val="ctr"/>
        <c:lblOffset val="100"/>
        <c:noMultiLvlLbl val="0"/>
      </c:catAx>
      <c:valAx>
        <c:axId val="152694784"/>
        <c:scaling>
          <c:orientation val="minMax"/>
          <c:min val="0.5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70614144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Avskjutning totalt per 1000 ha ungskog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trendline>
            <c:spPr>
              <a:ln w="19050">
                <a:solidFill>
                  <a:schemeClr val="accent1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Plan!#REF!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Plan!#REF!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Skötselplan!$B$97:$D$97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84-466C-A221-E33900C0C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21280"/>
        <c:axId val="154322816"/>
      </c:barChart>
      <c:catAx>
        <c:axId val="1543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322816"/>
        <c:crosses val="autoZero"/>
        <c:auto val="1"/>
        <c:lblAlgn val="ctr"/>
        <c:lblOffset val="100"/>
        <c:noMultiLvlLbl val="0"/>
      </c:catAx>
      <c:valAx>
        <c:axId val="154322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321280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/>
            </a:pPr>
            <a:r>
              <a:rPr lang="sv-SE" sz="1600"/>
              <a:t>Avskjutningsplan inom ÄFO för</a:t>
            </a:r>
            <a:r>
              <a:rPr lang="sv-SE" sz="1600" baseline="0"/>
              <a:t> planperioden</a:t>
            </a:r>
            <a:endParaRPr lang="sv-SE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Skötselplan!$A$313</c:f>
              <c:strCache>
                <c:ptCount val="1"/>
                <c:pt idx="0">
                  <c:v>Tjur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trendline>
            <c:spPr>
              <a:ln w="19050">
                <a:solidFill>
                  <a:srgbClr val="C00000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Skötselplan!$B$313:$D$313</c:f>
              <c:numCache>
                <c:formatCode>0</c:formatCode>
                <c:ptCount val="3"/>
                <c:pt idx="0">
                  <c:v>31</c:v>
                </c:pt>
                <c:pt idx="1">
                  <c:v>31</c:v>
                </c:pt>
                <c:pt idx="2">
                  <c:v>31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Skötselplan!$B$312:$D$312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BD3-45FE-9692-E7676E56C4F6}"/>
            </c:ext>
          </c:extLst>
        </c:ser>
        <c:ser>
          <c:idx val="3"/>
          <c:order val="1"/>
          <c:tx>
            <c:strRef>
              <c:f>Skötselplan!$A$314</c:f>
              <c:strCache>
                <c:ptCount val="1"/>
                <c:pt idx="0">
                  <c:v>Hondjur</c:v>
                </c:pt>
              </c:strCache>
            </c:strRef>
          </c:tx>
          <c:spPr>
            <a:solidFill>
              <a:srgbClr val="9BBB59"/>
            </a:solidFill>
          </c:spPr>
          <c:invertIfNegative val="0"/>
          <c:trendline>
            <c:spPr>
              <a:ln w="19050">
                <a:solidFill>
                  <a:srgbClr val="92D050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Skötselplan!$B$314:$D$314</c:f>
              <c:numCache>
                <c:formatCode>0</c:formatCode>
                <c:ptCount val="3"/>
                <c:pt idx="0">
                  <c:v>31</c:v>
                </c:pt>
                <c:pt idx="1">
                  <c:v>31</c:v>
                </c:pt>
                <c:pt idx="2">
                  <c:v>31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Skötselplan!$B$312:$D$312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BD3-45FE-9692-E7676E56C4F6}"/>
            </c:ext>
          </c:extLst>
        </c:ser>
        <c:ser>
          <c:idx val="4"/>
          <c:order val="2"/>
          <c:tx>
            <c:strRef>
              <c:f>Skötselplan!$A$315</c:f>
              <c:strCache>
                <c:ptCount val="1"/>
                <c:pt idx="0">
                  <c:v>Kalv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trendline>
            <c:spPr>
              <a:ln w="19050">
                <a:solidFill>
                  <a:srgbClr val="7030A0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Skötselplan!$B$315:$D$315</c:f>
              <c:numCache>
                <c:formatCode>0</c:formatCode>
                <c:ptCount val="3"/>
                <c:pt idx="0">
                  <c:v>62</c:v>
                </c:pt>
                <c:pt idx="1">
                  <c:v>62</c:v>
                </c:pt>
                <c:pt idx="2">
                  <c:v>62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Skötselplan!$B$312:$D$312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BD3-45FE-9692-E7676E56C4F6}"/>
            </c:ext>
          </c:extLst>
        </c:ser>
        <c:ser>
          <c:idx val="0"/>
          <c:order val="3"/>
          <c:tx>
            <c:strRef>
              <c:f>Skötselplan!$A$316</c:f>
              <c:strCache>
                <c:ptCount val="1"/>
                <c:pt idx="0">
                  <c:v>Antal älgar totalt</c:v>
                </c:pt>
              </c:strCache>
            </c:strRef>
          </c:tx>
          <c:invertIfNegative val="0"/>
          <c:trendline>
            <c:spPr>
              <a:ln w="19050">
                <a:solidFill>
                  <a:srgbClr val="4BACC6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Skötselplan!$B$316:$D$316</c:f>
              <c:numCache>
                <c:formatCode>0</c:formatCode>
                <c:ptCount val="3"/>
                <c:pt idx="0">
                  <c:v>124</c:v>
                </c:pt>
                <c:pt idx="1">
                  <c:v>124</c:v>
                </c:pt>
                <c:pt idx="2">
                  <c:v>124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Skötselplan!$B$312:$D$312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BD3-45FE-9692-E7676E56C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542848"/>
        <c:axId val="154544384"/>
      </c:barChart>
      <c:catAx>
        <c:axId val="15454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4544384"/>
        <c:crosses val="autoZero"/>
        <c:auto val="1"/>
        <c:lblAlgn val="ctr"/>
        <c:lblOffset val="100"/>
        <c:noMultiLvlLbl val="0"/>
      </c:catAx>
      <c:valAx>
        <c:axId val="154544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Antal fällda älgar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1545428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Avskjutningsplan totalt per 1000 ha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Skötselplan!$A$320</c:f>
              <c:strCache>
                <c:ptCount val="1"/>
                <c:pt idx="0">
                  <c:v>Totalt per 1000 ha</c:v>
                </c:pt>
              </c:strCache>
            </c:strRef>
          </c:tx>
          <c:invertIfNegative val="0"/>
          <c:trendline>
            <c:spPr>
              <a:ln w="19050">
                <a:solidFill>
                  <a:schemeClr val="accent6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Skötselplan!$B$320:$D$320</c:f>
              <c:numCache>
                <c:formatCode>0.0</c:formatCode>
                <c:ptCount val="3"/>
                <c:pt idx="0">
                  <c:v>2.7946810908271353</c:v>
                </c:pt>
                <c:pt idx="1">
                  <c:v>2.7946810908271353</c:v>
                </c:pt>
                <c:pt idx="2">
                  <c:v>2.7946810908271353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Skötselplan!$B$312:$D$312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45D-4805-926A-7690F282D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579712"/>
        <c:axId val="154581248"/>
      </c:barChart>
      <c:catAx>
        <c:axId val="15457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581248"/>
        <c:crosses val="autoZero"/>
        <c:auto val="1"/>
        <c:lblAlgn val="ctr"/>
        <c:lblOffset val="100"/>
        <c:noMultiLvlLbl val="0"/>
      </c:catAx>
      <c:valAx>
        <c:axId val="1545812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54579712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/>
              <a:t>Älgobservationer</a:t>
            </a:r>
            <a:r>
              <a:rPr lang="sv-SE" baseline="0"/>
              <a:t> (älgobs)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615970558028073"/>
          <c:y val="0.12495191998550292"/>
          <c:w val="0.63886597055802807"/>
          <c:h val="0.67573669104279555"/>
        </c:manualLayout>
      </c:layout>
      <c:lineChart>
        <c:grouping val="standard"/>
        <c:varyColors val="0"/>
        <c:ser>
          <c:idx val="0"/>
          <c:order val="0"/>
          <c:tx>
            <c:strRef>
              <c:f>Skötselplan!$A$116</c:f>
              <c:strCache>
                <c:ptCount val="1"/>
                <c:pt idx="0">
                  <c:v>Observationer per mantimme</c:v>
                </c:pt>
              </c:strCache>
            </c:strRef>
          </c:tx>
          <c:val>
            <c:numRef>
              <c:f>Skötselplan!$B$116:$E$116</c:f>
              <c:numCache>
                <c:formatCode>0.000</c:formatCode>
                <c:ptCount val="4"/>
                <c:pt idx="0">
                  <c:v>7.3999999999999996E-2</c:v>
                </c:pt>
                <c:pt idx="1">
                  <c:v>8.6999999999999994E-2</c:v>
                </c:pt>
                <c:pt idx="2">
                  <c:v>9.0999999999999998E-2</c:v>
                </c:pt>
                <c:pt idx="3">
                  <c:v>9.5000000000000001E-2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Skötselplan!$B$114:$E$114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7B2-47F2-B696-9E92C4515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96704"/>
        <c:axId val="154710784"/>
      </c:lineChart>
      <c:lineChart>
        <c:grouping val="standard"/>
        <c:varyColors val="0"/>
        <c:ser>
          <c:idx val="1"/>
          <c:order val="1"/>
          <c:tx>
            <c:strRef>
              <c:f>Skötselplan!$A$117</c:f>
              <c:strCache>
                <c:ptCount val="1"/>
                <c:pt idx="0">
                  <c:v>Antal kalvar per hondjur</c:v>
                </c:pt>
              </c:strCache>
            </c:strRef>
          </c:tx>
          <c:val>
            <c:numRef>
              <c:f>Skötselplan!$B$117:$E$117</c:f>
              <c:numCache>
                <c:formatCode>0.000</c:formatCode>
                <c:ptCount val="4"/>
                <c:pt idx="0">
                  <c:v>0.77</c:v>
                </c:pt>
                <c:pt idx="1">
                  <c:v>0.57499999999999996</c:v>
                </c:pt>
                <c:pt idx="2">
                  <c:v>0.63300000000000001</c:v>
                </c:pt>
                <c:pt idx="3">
                  <c:v>0.68100000000000005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Skötselplan!$B$114:$E$114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7B2-47F2-B696-9E92C4515759}"/>
            </c:ext>
          </c:extLst>
        </c:ser>
        <c:ser>
          <c:idx val="4"/>
          <c:order val="2"/>
          <c:tx>
            <c:strRef>
              <c:f>Skötselplan!$A$118</c:f>
              <c:strCache>
                <c:ptCount val="1"/>
                <c:pt idx="0">
                  <c:v>Andel tjur av vuxna</c:v>
                </c:pt>
              </c:strCache>
            </c:strRef>
          </c:tx>
          <c:val>
            <c:numRef>
              <c:f>Skötselplan!$B$118:$E$118</c:f>
              <c:numCache>
                <c:formatCode>0.0%</c:formatCode>
                <c:ptCount val="4"/>
                <c:pt idx="0">
                  <c:v>0.33100000000000002</c:v>
                </c:pt>
                <c:pt idx="1">
                  <c:v>0.30299999999999999</c:v>
                </c:pt>
                <c:pt idx="2">
                  <c:v>0.36399999999999999</c:v>
                </c:pt>
                <c:pt idx="3">
                  <c:v>0.374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Skötselplan!$B$114:$E$114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7B2-47F2-B696-9E92C4515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14880"/>
        <c:axId val="154712704"/>
      </c:lineChart>
      <c:catAx>
        <c:axId val="15469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4710784"/>
        <c:crosses val="autoZero"/>
        <c:auto val="1"/>
        <c:lblAlgn val="ctr"/>
        <c:lblOffset val="100"/>
        <c:noMultiLvlLbl val="0"/>
      </c:catAx>
      <c:valAx>
        <c:axId val="1547107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sv-SE" sz="1200"/>
                  <a:t>Obs/mantimme</a:t>
                </a:r>
              </a:p>
            </c:rich>
          </c:tx>
          <c:layout>
            <c:manualLayout>
              <c:xMode val="edge"/>
              <c:yMode val="edge"/>
              <c:x val="6.1835701243866253E-2"/>
              <c:y val="0.32567794281839491"/>
            </c:manualLayout>
          </c:layout>
          <c:overlay val="0"/>
        </c:title>
        <c:numFmt formatCode="0.000" sourceLinked="1"/>
        <c:majorTickMark val="none"/>
        <c:minorTickMark val="none"/>
        <c:tickLblPos val="nextTo"/>
        <c:crossAx val="154696704"/>
        <c:crossesAt val="1"/>
        <c:crossBetween val="between"/>
      </c:valAx>
      <c:valAx>
        <c:axId val="15471270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 sz="1200"/>
                  <a:t>Reproduktion</a:t>
                </a:r>
                <a:r>
                  <a:rPr lang="sv-SE" sz="1200" baseline="0"/>
                  <a:t> och tjurandel</a:t>
                </a:r>
                <a:endParaRPr lang="sv-SE" sz="1200"/>
              </a:p>
            </c:rich>
          </c:tx>
          <c:layout>
            <c:manualLayout>
              <c:xMode val="edge"/>
              <c:yMode val="edge"/>
              <c:x val="0.92028985507246375"/>
              <c:y val="0.27507707416305699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crossAx val="154714880"/>
        <c:crosses val="max"/>
        <c:crossBetween val="between"/>
      </c:valAx>
      <c:catAx>
        <c:axId val="154714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471270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/>
              <a:t>Spillningsinventering</a:t>
            </a:r>
            <a:endParaRPr lang="sv-SE" baseline="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Skötselplan!$A$130</c:f>
              <c:strCache>
                <c:ptCount val="1"/>
                <c:pt idx="0">
                  <c:v>Vinterstam i antal/1000 ha (max)</c:v>
                </c:pt>
              </c:strCache>
            </c:strRef>
          </c:tx>
          <c:trendline>
            <c:spPr>
              <a:ln w="19050">
                <a:solidFill>
                  <a:srgbClr val="9BBB59"/>
                </a:solidFill>
                <a:prstDash val="sysDash"/>
              </a:ln>
            </c:spPr>
            <c:trendlineType val="linear"/>
            <c:dispRSqr val="0"/>
            <c:dispEq val="0"/>
          </c:trendline>
          <c:val>
            <c:numRef>
              <c:f>Skötselplan!$B$130:$G$130</c:f>
              <c:numCache>
                <c:formatCode>0.0</c:formatCode>
                <c:ptCount val="6"/>
                <c:pt idx="0">
                  <c:v>8.6</c:v>
                </c:pt>
                <c:pt idx="1">
                  <c:v>10.7</c:v>
                </c:pt>
                <c:pt idx="2">
                  <c:v>8</c:v>
                </c:pt>
                <c:pt idx="3">
                  <c:v>9.9</c:v>
                </c:pt>
                <c:pt idx="4">
                  <c:v>8.4</c:v>
                </c:pt>
                <c:pt idx="5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C6-4515-BA53-1930567322AA}"/>
            </c:ext>
          </c:extLst>
        </c:ser>
        <c:ser>
          <c:idx val="0"/>
          <c:order val="1"/>
          <c:tx>
            <c:strRef>
              <c:f>Skötselplan!$A$132</c:f>
              <c:strCache>
                <c:ptCount val="1"/>
                <c:pt idx="0">
                  <c:v>Vinterstam i antal/1000 ha (medel)</c:v>
                </c:pt>
              </c:strCache>
            </c:strRef>
          </c:tx>
          <c:trendline>
            <c:spPr>
              <a:ln w="19050">
                <a:solidFill>
                  <a:srgbClr val="4F81BD"/>
                </a:solidFill>
                <a:prstDash val="sysDash"/>
              </a:ln>
            </c:spPr>
            <c:trendlineType val="linear"/>
            <c:dispRSqr val="0"/>
            <c:dispEq val="0"/>
          </c:trendline>
          <c:val>
            <c:numRef>
              <c:f>Skötselplan!$B$132:$G$132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Skötselplan!$B$124:$G$124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3C6-4515-BA53-1930567322AA}"/>
            </c:ext>
          </c:extLst>
        </c:ser>
        <c:ser>
          <c:idx val="1"/>
          <c:order val="2"/>
          <c:tx>
            <c:strRef>
              <c:f>Skötselplan!$A$133</c:f>
              <c:strCache>
                <c:ptCount val="1"/>
                <c:pt idx="0">
                  <c:v>Vinterstam i antal/1000 ha (medel)</c:v>
                </c:pt>
              </c:strCache>
            </c:strRef>
          </c:tx>
          <c:trendline>
            <c:spPr>
              <a:ln w="19050">
                <a:solidFill>
                  <a:srgbClr val="C0504D"/>
                </a:solidFill>
                <a:prstDash val="sysDash"/>
              </a:ln>
            </c:spPr>
            <c:trendlineType val="linear"/>
            <c:dispRSqr val="0"/>
            <c:dispEq val="0"/>
          </c:trendline>
          <c:val>
            <c:numRef>
              <c:f>Skötselplan!$B$133:$G$133</c:f>
              <c:numCache>
                <c:formatCode>0.0</c:formatCode>
                <c:ptCount val="6"/>
                <c:pt idx="0">
                  <c:v>7</c:v>
                </c:pt>
                <c:pt idx="1">
                  <c:v>8.6999999999999993</c:v>
                </c:pt>
                <c:pt idx="2">
                  <c:v>6.8</c:v>
                </c:pt>
                <c:pt idx="3">
                  <c:v>8.1</c:v>
                </c:pt>
                <c:pt idx="4">
                  <c:v>7.2</c:v>
                </c:pt>
                <c:pt idx="5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C6-4515-BA53-1930567322AA}"/>
            </c:ext>
          </c:extLst>
        </c:ser>
        <c:ser>
          <c:idx val="3"/>
          <c:order val="3"/>
          <c:tx>
            <c:strRef>
              <c:f>Skötselplan!$A$131</c:f>
              <c:strCache>
                <c:ptCount val="1"/>
                <c:pt idx="0">
                  <c:v>Vinterstam i antal/1000 ha (min)</c:v>
                </c:pt>
              </c:strCache>
            </c:strRef>
          </c:tx>
          <c:trendline>
            <c:spPr>
              <a:ln w="19050">
                <a:solidFill>
                  <a:srgbClr val="8064A2"/>
                </a:solidFill>
                <a:prstDash val="sysDash"/>
              </a:ln>
            </c:spPr>
            <c:trendlineType val="linear"/>
            <c:dispRSqr val="0"/>
            <c:dispEq val="0"/>
          </c:trendline>
          <c:val>
            <c:numRef>
              <c:f>Skötselplan!$B$131:$G$131</c:f>
              <c:numCache>
                <c:formatCode>0.0</c:formatCode>
                <c:ptCount val="6"/>
                <c:pt idx="0">
                  <c:v>5.3</c:v>
                </c:pt>
                <c:pt idx="1">
                  <c:v>6.7</c:v>
                </c:pt>
                <c:pt idx="2">
                  <c:v>5.6</c:v>
                </c:pt>
                <c:pt idx="3">
                  <c:v>6.3</c:v>
                </c:pt>
                <c:pt idx="4">
                  <c:v>6</c:v>
                </c:pt>
                <c:pt idx="5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C6-4515-BA53-19305673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81888"/>
        <c:axId val="152983424"/>
      </c:lineChart>
      <c:catAx>
        <c:axId val="15298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2983424"/>
        <c:crosses val="autoZero"/>
        <c:auto val="1"/>
        <c:lblAlgn val="ctr"/>
        <c:lblOffset val="100"/>
        <c:noMultiLvlLbl val="0"/>
      </c:catAx>
      <c:valAx>
        <c:axId val="15298342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sv-SE" sz="1200"/>
                  <a:t>Index-beräknat antal per 1000 ha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52981888"/>
        <c:crossesAt val="1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Kalvvikter i kg - årsvisa värden och trendlinjer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493271754492227"/>
          <c:y val="0.18546007477696963"/>
          <c:w val="0.73304461942257215"/>
          <c:h val="0.680063214029043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Skötselplan!$A$143</c:f>
              <c:strCache>
                <c:ptCount val="1"/>
                <c:pt idx="0">
                  <c:v>Slaktvikt kg septemberjakt (vägda)</c:v>
                </c:pt>
              </c:strCache>
            </c:strRef>
          </c:tx>
          <c:invertIfNegative val="0"/>
          <c:val>
            <c:numRef>
              <c:f>Skötselplan!$D$143:$F$143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Skötselplan!$D$141:$F$141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956-435D-AB97-D1F86F4AF764}"/>
            </c:ext>
          </c:extLst>
        </c:ser>
        <c:ser>
          <c:idx val="2"/>
          <c:order val="1"/>
          <c:tx>
            <c:strRef>
              <c:f>Skötselplan!$A$144</c:f>
              <c:strCache>
                <c:ptCount val="1"/>
                <c:pt idx="0">
                  <c:v>Slaktvikt kg oktoberjakt (vägda)</c:v>
                </c:pt>
              </c:strCache>
            </c:strRef>
          </c:tx>
          <c:invertIfNegative val="0"/>
          <c:trendline>
            <c:trendlineType val="linear"/>
            <c:dispRSqr val="0"/>
            <c:dispEq val="0"/>
          </c:trendline>
          <c:val>
            <c:numRef>
              <c:f>Skötselplan!$D$144:$F$144</c:f>
              <c:numCache>
                <c:formatCode>0</c:formatCode>
                <c:ptCount val="3"/>
                <c:pt idx="0">
                  <c:v>66</c:v>
                </c:pt>
                <c:pt idx="1">
                  <c:v>71</c:v>
                </c:pt>
                <c:pt idx="2">
                  <c:v>66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Skötselplan!$D$141:$F$141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956-435D-AB97-D1F86F4AF764}"/>
            </c:ext>
          </c:extLst>
        </c:ser>
        <c:ser>
          <c:idx val="0"/>
          <c:order val="2"/>
          <c:tx>
            <c:strRef>
              <c:f>Skötselplan!$A$145</c:f>
              <c:strCache>
                <c:ptCount val="1"/>
                <c:pt idx="0">
                  <c:v>Slaktvikt kg medel (vägda)</c:v>
                </c:pt>
              </c:strCache>
            </c:strRef>
          </c:tx>
          <c:invertIfNegative val="0"/>
          <c:trendline>
            <c:spPr>
              <a:ln w="19050">
                <a:solidFill>
                  <a:schemeClr val="accent1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Skötselplan!$D$145:$F$145</c:f>
              <c:numCache>
                <c:formatCode>0</c:formatCode>
                <c:ptCount val="3"/>
                <c:pt idx="0">
                  <c:v>66.400000000000006</c:v>
                </c:pt>
                <c:pt idx="1">
                  <c:v>70.7</c:v>
                </c:pt>
                <c:pt idx="2">
                  <c:v>66.3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56-435D-AB97-D1F86F4AF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042304"/>
        <c:axId val="153052288"/>
      </c:barChart>
      <c:catAx>
        <c:axId val="15304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3052288"/>
        <c:crosses val="autoZero"/>
        <c:auto val="1"/>
        <c:lblAlgn val="ctr"/>
        <c:lblOffset val="100"/>
        <c:noMultiLvlLbl val="0"/>
      </c:catAx>
      <c:valAx>
        <c:axId val="153052288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sv-SE" sz="1400"/>
                  <a:t>Medlevikt</a:t>
                </a:r>
                <a:r>
                  <a:rPr lang="sv-SE" sz="1400" baseline="0"/>
                  <a:t> i kg</a:t>
                </a:r>
                <a:endParaRPr lang="sv-SE" sz="1400"/>
              </a:p>
            </c:rich>
          </c:tx>
          <c:layout>
            <c:manualLayout>
              <c:xMode val="edge"/>
              <c:yMode val="edge"/>
              <c:x val="0.16025641025641027"/>
              <c:y val="0.4571291856591595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53042304"/>
        <c:crosses val="autoZero"/>
        <c:crossBetween val="between"/>
        <c:majorUnit val="10"/>
        <c:minorUnit val="5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/>
              <a:t>Skogstillstånd enligt</a:t>
            </a:r>
            <a:r>
              <a:rPr lang="sv-SE" baseline="0"/>
              <a:t> </a:t>
            </a:r>
            <a:r>
              <a:rPr lang="sv-SE"/>
              <a:t>Äbin</a:t>
            </a:r>
          </a:p>
          <a:p>
            <a:pPr>
              <a:defRPr/>
            </a:pPr>
            <a:r>
              <a:rPr lang="sv-SE"/>
              <a:t>-</a:t>
            </a:r>
            <a:r>
              <a:rPr lang="sv-SE" baseline="0"/>
              <a:t> årsvisa värden samt trendlinjer</a:t>
            </a:r>
            <a:endParaRPr lang="sv-SE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341745406824147"/>
          <c:y val="0.17956103600257511"/>
          <c:w val="0.60113110236220468"/>
          <c:h val="0.63607666022879217"/>
        </c:manualLayout>
      </c:layout>
      <c:lineChart>
        <c:grouping val="standard"/>
        <c:varyColors val="0"/>
        <c:ser>
          <c:idx val="0"/>
          <c:order val="0"/>
          <c:tx>
            <c:strRef>
              <c:f>Skötselplan!$B$226</c:f>
              <c:strCache>
                <c:ptCount val="1"/>
                <c:pt idx="0">
                  <c:v>Välj i lista</c:v>
                </c:pt>
              </c:strCache>
            </c:strRef>
          </c:tx>
          <c:spPr>
            <a:ln>
              <a:noFill/>
            </a:ln>
          </c:spPr>
          <c:trendline>
            <c:spPr>
              <a:ln w="25400">
                <a:solidFill>
                  <a:srgbClr val="4F81BD"/>
                </a:solidFill>
                <a:prstDash val="sysDash"/>
              </a:ln>
            </c:spPr>
            <c:trendlineType val="movingAvg"/>
            <c:period val="2"/>
            <c:dispRSqr val="0"/>
            <c:dispEq val="0"/>
          </c:trendline>
          <c:val>
            <c:numRef>
              <c:f>Skötselplan!$E$226:$H$226</c:f>
              <c:numCache>
                <c:formatCode>0%</c:formatCode>
                <c:ptCount val="4"/>
                <c:pt idx="0">
                  <c:v>7.0000000000000007E-2</c:v>
                </c:pt>
                <c:pt idx="2">
                  <c:v>0.21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Skötselplan!$E$225:$H$225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905-48E9-A2D1-F5F7A6C41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88608"/>
        <c:axId val="154790144"/>
      </c:lineChart>
      <c:lineChart>
        <c:grouping val="standard"/>
        <c:varyColors val="0"/>
        <c:ser>
          <c:idx val="1"/>
          <c:order val="1"/>
          <c:tx>
            <c:strRef>
              <c:f>Skötselplan!$B$227</c:f>
              <c:strCache>
                <c:ptCount val="1"/>
                <c:pt idx="0">
                  <c:v>Välj i lista</c:v>
                </c:pt>
              </c:strCache>
            </c:strRef>
          </c:tx>
          <c:spPr>
            <a:ln>
              <a:noFill/>
            </a:ln>
          </c:spPr>
          <c:trendline>
            <c:spPr>
              <a:ln w="25400">
                <a:solidFill>
                  <a:srgbClr val="C00000"/>
                </a:solidFill>
                <a:prstDash val="sysDash"/>
              </a:ln>
            </c:spPr>
            <c:trendlineType val="movingAvg"/>
            <c:period val="2"/>
            <c:dispRSqr val="0"/>
            <c:dispEq val="0"/>
          </c:trendline>
          <c:val>
            <c:numRef>
              <c:f>Skötselplan!$E$227:$H$227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05-48E9-A2D1-F5F7A6C41321}"/>
            </c:ext>
          </c:extLst>
        </c:ser>
        <c:ser>
          <c:idx val="2"/>
          <c:order val="2"/>
          <c:tx>
            <c:strRef>
              <c:f>Skötselplan!$B$228</c:f>
              <c:strCache>
                <c:ptCount val="1"/>
                <c:pt idx="0">
                  <c:v>Välj i lista</c:v>
                </c:pt>
              </c:strCache>
            </c:strRef>
          </c:tx>
          <c:spPr>
            <a:ln w="28575">
              <a:noFill/>
            </a:ln>
          </c:spPr>
          <c:val>
            <c:numRef>
              <c:f>Skötselplan!$E$228:$H$228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05-48E9-A2D1-F5F7A6C41321}"/>
            </c:ext>
          </c:extLst>
        </c:ser>
        <c:ser>
          <c:idx val="3"/>
          <c:order val="3"/>
          <c:tx>
            <c:strRef>
              <c:f>Skötselplan!$B$229</c:f>
              <c:strCache>
                <c:ptCount val="1"/>
                <c:pt idx="0">
                  <c:v>Välj i lista</c:v>
                </c:pt>
              </c:strCache>
            </c:strRef>
          </c:tx>
          <c:spPr>
            <a:ln w="28575">
              <a:noFill/>
            </a:ln>
          </c:spPr>
          <c:val>
            <c:numRef>
              <c:f>Skötselplan!$E$229:$H$229</c:f>
              <c:numCache>
                <c:formatCode>0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05-48E9-A2D1-F5F7A6C41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66336"/>
        <c:axId val="152764800"/>
      </c:lineChart>
      <c:catAx>
        <c:axId val="15478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4790144"/>
        <c:crosses val="autoZero"/>
        <c:auto val="1"/>
        <c:lblAlgn val="ctr"/>
        <c:lblOffset val="100"/>
        <c:noMultiLvlLbl val="0"/>
      </c:catAx>
      <c:valAx>
        <c:axId val="1547901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sv-SE" sz="1400"/>
                  <a:t>Skadeprocent</a:t>
                </a:r>
                <a:r>
                  <a:rPr lang="sv-SE" sz="1400" baseline="0"/>
                  <a:t> och/eller andelar</a:t>
                </a:r>
                <a:endParaRPr lang="sv-SE" sz="1400"/>
              </a:p>
            </c:rich>
          </c:tx>
          <c:layout>
            <c:manualLayout>
              <c:xMode val="edge"/>
              <c:yMode val="edge"/>
              <c:x val="0.14405983645107945"/>
              <c:y val="0.23231524220391997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crossAx val="154788608"/>
        <c:crosses val="autoZero"/>
        <c:crossBetween val="between"/>
      </c:valAx>
      <c:valAx>
        <c:axId val="15276480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52766336"/>
        <c:crosses val="max"/>
        <c:crossBetween val="between"/>
      </c:valAx>
      <c:catAx>
        <c:axId val="15276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76480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0146815955617581E-2"/>
          <c:y val="0.14317868566036721"/>
          <c:w val="0.54884835792741971"/>
          <c:h val="0.80855797874296642"/>
        </c:manualLayout>
      </c:layout>
      <c:lineChart>
        <c:grouping val="stacked"/>
        <c:varyColors val="0"/>
        <c:ser>
          <c:idx val="0"/>
          <c:order val="0"/>
          <c:tx>
            <c:v>Spillningsinventering</c:v>
          </c:tx>
          <c:val>
            <c:numRef>
              <c:f>'Beräkning avskjutning'!$B$37:$E$37</c:f>
              <c:numCache>
                <c:formatCode>0.0</c:formatCode>
                <c:ptCount val="4"/>
                <c:pt idx="0">
                  <c:v>6.8</c:v>
                </c:pt>
                <c:pt idx="1">
                  <c:v>8.1</c:v>
                </c:pt>
                <c:pt idx="2">
                  <c:v>7.2</c:v>
                </c:pt>
                <c:pt idx="3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'Beräkning avskjutning'!$B$36:$E$36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C3F-47F0-BAAE-D1CD0851F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56224"/>
        <c:axId val="152757760"/>
      </c:lineChart>
      <c:catAx>
        <c:axId val="15275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757760"/>
        <c:crosses val="autoZero"/>
        <c:auto val="1"/>
        <c:lblAlgn val="ctr"/>
        <c:lblOffset val="100"/>
        <c:noMultiLvlLbl val="0"/>
      </c:catAx>
      <c:valAx>
        <c:axId val="15275776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52756224"/>
        <c:crosses val="autoZero"/>
        <c:crossBetween val="between"/>
        <c:majorUnit val="1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'Beräkning avskjutning'!$A$30</c:f>
              <c:strCache>
                <c:ptCount val="1"/>
                <c:pt idx="0">
                  <c:v>Obs/mantimme</c:v>
                </c:pt>
              </c:strCache>
            </c:strRef>
          </c:tx>
          <c:val>
            <c:numRef>
              <c:f>'Beräkning avskjutning'!$B$30:$E$30</c:f>
              <c:numCache>
                <c:formatCode>General</c:formatCode>
                <c:ptCount val="4"/>
                <c:pt idx="0">
                  <c:v>7.3999999999999996E-2</c:v>
                </c:pt>
                <c:pt idx="1">
                  <c:v>8.6999999999999994E-2</c:v>
                </c:pt>
                <c:pt idx="2">
                  <c:v>9.0999999999999998E-2</c:v>
                </c:pt>
                <c:pt idx="3">
                  <c:v>9.5000000000000001E-2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'Beräkning avskjutning'!$B$29:$E$29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408-4B90-AD60-10C339272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077568"/>
        <c:axId val="188079104"/>
      </c:lineChart>
      <c:catAx>
        <c:axId val="1880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8079104"/>
        <c:crosses val="autoZero"/>
        <c:auto val="1"/>
        <c:lblAlgn val="ctr"/>
        <c:lblOffset val="100"/>
        <c:noMultiLvlLbl val="0"/>
      </c:catAx>
      <c:valAx>
        <c:axId val="18807910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8077568"/>
        <c:crosses val="autoZero"/>
        <c:crossBetween val="between"/>
        <c:majorUnit val="1.0000000000000002E-2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Tot avsk/1000 ha</c:v>
          </c:tx>
          <c:val>
            <c:numRef>
              <c:f>'Beräkning avskjutning'!$B$12:$D$12</c:f>
              <c:numCache>
                <c:formatCode>0.0</c:formatCode>
                <c:ptCount val="3"/>
                <c:pt idx="0">
                  <c:v>2.4785381131565307</c:v>
                </c:pt>
                <c:pt idx="1">
                  <c:v>2.906649241792659</c:v>
                </c:pt>
                <c:pt idx="2">
                  <c:v>2.5467658327698892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'Beräkning avskjutning'!$B$6:$D$6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A97-4A81-88ED-B3D2FAACE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024960"/>
        <c:axId val="154034944"/>
      </c:lineChart>
      <c:catAx>
        <c:axId val="15402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034944"/>
        <c:crosses val="autoZero"/>
        <c:auto val="1"/>
        <c:lblAlgn val="ctr"/>
        <c:lblOffset val="100"/>
        <c:noMultiLvlLbl val="0"/>
      </c:catAx>
      <c:valAx>
        <c:axId val="154034944"/>
        <c:scaling>
          <c:orientation val="minMax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5402496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Observerad kalv / vuxet hondjur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'Beräkning avskjutning'!$A$31</c:f>
              <c:strCache>
                <c:ptCount val="1"/>
                <c:pt idx="0">
                  <c:v>Kalv/hondjur</c:v>
                </c:pt>
              </c:strCache>
            </c:strRef>
          </c:tx>
          <c:val>
            <c:numRef>
              <c:f>'Beräkning avskjutning'!$B$31:$E$31</c:f>
              <c:numCache>
                <c:formatCode>0.00</c:formatCode>
                <c:ptCount val="4"/>
                <c:pt idx="0">
                  <c:v>0.77</c:v>
                </c:pt>
                <c:pt idx="1">
                  <c:v>0.57499999999999996</c:v>
                </c:pt>
                <c:pt idx="2">
                  <c:v>0.63300000000000001</c:v>
                </c:pt>
                <c:pt idx="3">
                  <c:v>0.68100000000000005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'Beräkning avskjutning'!$B$29:$E$29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817-4CC1-AE67-058F8012E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057344"/>
        <c:axId val="154071424"/>
      </c:lineChart>
      <c:catAx>
        <c:axId val="15405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071424"/>
        <c:crosses val="autoZero"/>
        <c:auto val="1"/>
        <c:lblAlgn val="ctr"/>
        <c:lblOffset val="100"/>
        <c:noMultiLvlLbl val="0"/>
      </c:catAx>
      <c:valAx>
        <c:axId val="154071424"/>
        <c:scaling>
          <c:orientation val="minMax"/>
          <c:min val="0.5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54057344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Observerade tjurar / av vuxna</a:t>
            </a:r>
            <a:r>
              <a:rPr lang="en-US" baseline="0"/>
              <a:t> </a:t>
            </a:r>
            <a:r>
              <a:rPr lang="en-US"/>
              <a:t>djur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'Beräkning avskjutning'!$A$32</c:f>
              <c:strCache>
                <c:ptCount val="1"/>
                <c:pt idx="0">
                  <c:v>Tjur/vuxna</c:v>
                </c:pt>
              </c:strCache>
            </c:strRef>
          </c:tx>
          <c:val>
            <c:numRef>
              <c:f>'Beräkning avskjutning'!$B$32:$E$32</c:f>
              <c:numCache>
                <c:formatCode>0%</c:formatCode>
                <c:ptCount val="4"/>
                <c:pt idx="0">
                  <c:v>0.33100000000000002</c:v>
                </c:pt>
                <c:pt idx="1">
                  <c:v>0.30299999999999999</c:v>
                </c:pt>
                <c:pt idx="2">
                  <c:v>0.36399999999999999</c:v>
                </c:pt>
                <c:pt idx="3">
                  <c:v>0.374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'Beräkning avskjutning'!$B$29:$E$29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DD4-4FDC-9DD2-F9B24BB8E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100096"/>
        <c:axId val="154101632"/>
      </c:lineChart>
      <c:catAx>
        <c:axId val="15410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101632"/>
        <c:crosses val="autoZero"/>
        <c:auto val="1"/>
        <c:lblAlgn val="ctr"/>
        <c:lblOffset val="100"/>
        <c:noMultiLvlLbl val="0"/>
      </c:catAx>
      <c:valAx>
        <c:axId val="154101632"/>
        <c:scaling>
          <c:orientation val="minMax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4100096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'Beräkning avskjutning'!$B$201</c:f>
              <c:strCache>
                <c:ptCount val="1"/>
                <c:pt idx="0">
                  <c:v>Tjur</c:v>
                </c:pt>
              </c:strCache>
            </c:strRef>
          </c:tx>
          <c:val>
            <c:numRef>
              <c:f>'Beräkning avskjutning'!$B$202:$B$205</c:f>
              <c:numCache>
                <c:formatCode>0</c:formatCode>
                <c:ptCount val="4"/>
                <c:pt idx="0">
                  <c:v>103.8258</c:v>
                </c:pt>
                <c:pt idx="1">
                  <c:v>112.01839587500001</c:v>
                </c:pt>
                <c:pt idx="2">
                  <c:v>120.99133681800004</c:v>
                </c:pt>
                <c:pt idx="3">
                  <c:v>132.04144414591207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'Beräkning avskjutning'!$A$202:$A$205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ADF-49E0-8A50-3B02F4D08C10}"/>
            </c:ext>
          </c:extLst>
        </c:ser>
        <c:ser>
          <c:idx val="1"/>
          <c:order val="1"/>
          <c:tx>
            <c:strRef>
              <c:f>'Beräkning avskjutning'!$C$201</c:f>
              <c:strCache>
                <c:ptCount val="1"/>
                <c:pt idx="0">
                  <c:v>Hondjur</c:v>
                </c:pt>
              </c:strCache>
            </c:strRef>
          </c:tx>
          <c:val>
            <c:numRef>
              <c:f>'Beräkning avskjutning'!$C$202:$C$205</c:f>
              <c:numCache>
                <c:formatCode>0</c:formatCode>
                <c:ptCount val="4"/>
                <c:pt idx="0">
                  <c:v>203.6583</c:v>
                </c:pt>
                <c:pt idx="1">
                  <c:v>208.59799999999998</c:v>
                </c:pt>
                <c:pt idx="2">
                  <c:v>214.36292637199998</c:v>
                </c:pt>
                <c:pt idx="3">
                  <c:v>222.14594863308798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'Beräkning avskjutning'!$A$202:$A$205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ADF-49E0-8A50-3B02F4D08C10}"/>
            </c:ext>
          </c:extLst>
        </c:ser>
        <c:ser>
          <c:idx val="2"/>
          <c:order val="2"/>
          <c:tx>
            <c:strRef>
              <c:f>'Beräkning avskjutning'!$D$201</c:f>
              <c:strCache>
                <c:ptCount val="1"/>
                <c:pt idx="0">
                  <c:v>Kalv</c:v>
                </c:pt>
              </c:strCache>
            </c:strRef>
          </c:tx>
          <c:val>
            <c:numRef>
              <c:f>'Beräkning avskjutning'!$D$202:$D$205</c:f>
              <c:numCache>
                <c:formatCode>0</c:formatCode>
                <c:ptCount val="4"/>
                <c:pt idx="0">
                  <c:v>91.8459</c:v>
                </c:pt>
                <c:pt idx="1">
                  <c:v>93.976763274999996</c:v>
                </c:pt>
                <c:pt idx="2">
                  <c:v>98.661540241599994</c:v>
                </c:pt>
                <c:pt idx="3">
                  <c:v>104.8850446157104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'Beräkning avskjutning'!$A$202:$A$205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ADF-49E0-8A50-3B02F4D08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119168"/>
        <c:axId val="154153728"/>
      </c:areaChart>
      <c:catAx>
        <c:axId val="15411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153728"/>
        <c:crosses val="autoZero"/>
        <c:auto val="1"/>
        <c:lblAlgn val="ctr"/>
        <c:lblOffset val="100"/>
        <c:noMultiLvlLbl val="0"/>
      </c:catAx>
      <c:valAx>
        <c:axId val="15415372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54119168"/>
        <c:crosses val="autoZero"/>
        <c:crossBetween val="midCat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/>
            </a:pPr>
            <a:r>
              <a:rPr lang="sv-SE" sz="1600"/>
              <a:t>Total avskjutning inom ÄFO på årsbasis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Skötselplan!$A$98</c:f>
              <c:strCache>
                <c:ptCount val="1"/>
                <c:pt idx="0">
                  <c:v>Tjur</c:v>
                </c:pt>
              </c:strCache>
            </c:strRef>
          </c:tx>
          <c:invertIfNegative val="0"/>
          <c:trendline>
            <c:spPr>
              <a:ln w="19050">
                <a:solidFill>
                  <a:srgbClr val="C0504D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Skötselplan!$B$98:$D$98</c:f>
              <c:numCache>
                <c:formatCode>0</c:formatCode>
                <c:ptCount val="3"/>
                <c:pt idx="0">
                  <c:v>32</c:v>
                </c:pt>
                <c:pt idx="1">
                  <c:v>31</c:v>
                </c:pt>
                <c:pt idx="2">
                  <c:v>31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Skötselplan!$B$97:$D$97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544-42A4-9274-00FD2C9738C9}"/>
            </c:ext>
          </c:extLst>
        </c:ser>
        <c:ser>
          <c:idx val="2"/>
          <c:order val="1"/>
          <c:tx>
            <c:strRef>
              <c:f>Skötselplan!$A$99</c:f>
              <c:strCache>
                <c:ptCount val="1"/>
                <c:pt idx="0">
                  <c:v>Hondjur</c:v>
                </c:pt>
              </c:strCache>
            </c:strRef>
          </c:tx>
          <c:invertIfNegative val="0"/>
          <c:trendline>
            <c:spPr>
              <a:ln w="19050">
                <a:solidFill>
                  <a:srgbClr val="9BBB59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Skötselplan!$B$99:$D$99</c:f>
              <c:numCache>
                <c:formatCode>0</c:formatCode>
                <c:ptCount val="3"/>
                <c:pt idx="0">
                  <c:v>19</c:v>
                </c:pt>
                <c:pt idx="1">
                  <c:v>30</c:v>
                </c:pt>
                <c:pt idx="2">
                  <c:v>25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Skötselplan!$B$97:$D$97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544-42A4-9274-00FD2C9738C9}"/>
            </c:ext>
          </c:extLst>
        </c:ser>
        <c:ser>
          <c:idx val="3"/>
          <c:order val="2"/>
          <c:tx>
            <c:strRef>
              <c:f>Skötselplan!$A$100</c:f>
              <c:strCache>
                <c:ptCount val="1"/>
                <c:pt idx="0">
                  <c:v>Kalv</c:v>
                </c:pt>
              </c:strCache>
            </c:strRef>
          </c:tx>
          <c:invertIfNegative val="0"/>
          <c:trendline>
            <c:spPr>
              <a:ln w="19050">
                <a:solidFill>
                  <a:srgbClr val="8064A2">
                    <a:lumMod val="75000"/>
                  </a:srgbClr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Skötselplan!$B$100:$D$100</c:f>
              <c:numCache>
                <c:formatCode>0</c:formatCode>
                <c:ptCount val="3"/>
                <c:pt idx="0">
                  <c:v>59</c:v>
                </c:pt>
                <c:pt idx="1">
                  <c:v>68</c:v>
                </c:pt>
                <c:pt idx="2">
                  <c:v>57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Skötselplan!$B$97:$D$97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544-42A4-9274-00FD2C9738C9}"/>
            </c:ext>
          </c:extLst>
        </c:ser>
        <c:ser>
          <c:idx val="4"/>
          <c:order val="3"/>
          <c:tx>
            <c:strRef>
              <c:f>Skötselplan!$A$101</c:f>
              <c:strCache>
                <c:ptCount val="1"/>
                <c:pt idx="0">
                  <c:v>Totalt</c:v>
                </c:pt>
              </c:strCache>
            </c:strRef>
          </c:tx>
          <c:invertIfNegative val="0"/>
          <c:trendline>
            <c:spPr>
              <a:ln w="19050">
                <a:solidFill>
                  <a:srgbClr val="4BACC6">
                    <a:lumMod val="75000"/>
                  </a:srgbClr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Skötselplan!$B$101:$D$101</c:f>
              <c:numCache>
                <c:formatCode>0</c:formatCode>
                <c:ptCount val="3"/>
                <c:pt idx="0">
                  <c:v>110</c:v>
                </c:pt>
                <c:pt idx="1">
                  <c:v>129</c:v>
                </c:pt>
                <c:pt idx="2">
                  <c:v>113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Skötselplan!$B$97:$D$97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544-42A4-9274-00FD2C973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47936"/>
        <c:axId val="154249472"/>
      </c:barChart>
      <c:catAx>
        <c:axId val="15424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4249472"/>
        <c:crosses val="autoZero"/>
        <c:auto val="1"/>
        <c:lblAlgn val="ctr"/>
        <c:lblOffset val="100"/>
        <c:noMultiLvlLbl val="0"/>
      </c:catAx>
      <c:valAx>
        <c:axId val="15424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Antal fällda älgar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1542479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Avskjutning totalt per 1000 ha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Skötselplan!$A$102</c:f>
              <c:strCache>
                <c:ptCount val="1"/>
                <c:pt idx="0">
                  <c:v>Totalt per 1000 ha</c:v>
                </c:pt>
              </c:strCache>
            </c:strRef>
          </c:tx>
          <c:invertIfNegative val="0"/>
          <c:trendline>
            <c:spPr>
              <a:ln w="19050">
                <a:solidFill>
                  <a:schemeClr val="accent6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Skötselplan!$B$102:$D$102</c:f>
              <c:numCache>
                <c:formatCode>0.0</c:formatCode>
                <c:ptCount val="3"/>
                <c:pt idx="0">
                  <c:v>2.4785381131565307</c:v>
                </c:pt>
                <c:pt idx="1">
                  <c:v>2.906649241792659</c:v>
                </c:pt>
                <c:pt idx="2">
                  <c:v>2.5467658327698892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Skötselplan!$B$97:$D$97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85A-4259-BD20-2F807A99F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92992"/>
        <c:axId val="154294528"/>
      </c:barChart>
      <c:catAx>
        <c:axId val="15429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294528"/>
        <c:crosses val="autoZero"/>
        <c:auto val="1"/>
        <c:lblAlgn val="ctr"/>
        <c:lblOffset val="100"/>
        <c:noMultiLvlLbl val="0"/>
      </c:catAx>
      <c:valAx>
        <c:axId val="154294528"/>
        <c:scaling>
          <c:orientation val="minMax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54292992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CheckBox" checked="Checked" fmlaLink="Utdata!$JP$2" lockText="1"/>
</file>

<file path=xl/ctrlProps/ctrlProp10.xml><?xml version="1.0" encoding="utf-8"?>
<formControlPr xmlns="http://schemas.microsoft.com/office/spreadsheetml/2009/9/main" objectType="CheckBox" checked="Checked" fmlaLink="Utdata!$EQ$2" lockText="1"/>
</file>

<file path=xl/ctrlProps/ctrlProp100.xml><?xml version="1.0" encoding="utf-8"?>
<formControlPr xmlns="http://schemas.microsoft.com/office/spreadsheetml/2009/9/main" objectType="CheckBox" fmlaLink="$T$54" lockText="1"/>
</file>

<file path=xl/ctrlProps/ctrlProp101.xml><?xml version="1.0" encoding="utf-8"?>
<formControlPr xmlns="http://schemas.microsoft.com/office/spreadsheetml/2009/9/main" objectType="CheckBox" fmlaLink="$T$55" lockText="1"/>
</file>

<file path=xl/ctrlProps/ctrlProp102.xml><?xml version="1.0" encoding="utf-8"?>
<formControlPr xmlns="http://schemas.microsoft.com/office/spreadsheetml/2009/9/main" objectType="CheckBox" fmlaLink="$T$56" lockText="1"/>
</file>

<file path=xl/ctrlProps/ctrlProp103.xml><?xml version="1.0" encoding="utf-8"?>
<formControlPr xmlns="http://schemas.microsoft.com/office/spreadsheetml/2009/9/main" objectType="CheckBox" fmlaLink="$T$9" lockText="1"/>
</file>

<file path=xl/ctrlProps/ctrlProp104.xml><?xml version="1.0" encoding="utf-8"?>
<formControlPr xmlns="http://schemas.microsoft.com/office/spreadsheetml/2009/9/main" objectType="CheckBox" fmlaLink="$T$57" lockText="1"/>
</file>

<file path=xl/ctrlProps/ctrlProp105.xml><?xml version="1.0" encoding="utf-8"?>
<formControlPr xmlns="http://schemas.microsoft.com/office/spreadsheetml/2009/9/main" objectType="CheckBox" fmlaLink="$T$9" lockText="1"/>
</file>

<file path=xl/ctrlProps/ctrlProp106.xml><?xml version="1.0" encoding="utf-8"?>
<formControlPr xmlns="http://schemas.microsoft.com/office/spreadsheetml/2009/9/main" objectType="CheckBox" fmlaLink="$T$58" lockText="1"/>
</file>

<file path=xl/ctrlProps/ctrlProp107.xml><?xml version="1.0" encoding="utf-8"?>
<formControlPr xmlns="http://schemas.microsoft.com/office/spreadsheetml/2009/9/main" objectType="CheckBox" fmlaLink="$T$9" lockText="1"/>
</file>

<file path=xl/ctrlProps/ctrlProp108.xml><?xml version="1.0" encoding="utf-8"?>
<formControlPr xmlns="http://schemas.microsoft.com/office/spreadsheetml/2009/9/main" objectType="CheckBox" fmlaLink="$T$8" lockText="1"/>
</file>

<file path=xl/ctrlProps/ctrlProp109.xml><?xml version="1.0" encoding="utf-8"?>
<formControlPr xmlns="http://schemas.microsoft.com/office/spreadsheetml/2009/9/main" objectType="CheckBox" fmlaLink="$T$59" lockText="1"/>
</file>

<file path=xl/ctrlProps/ctrlProp11.xml><?xml version="1.0" encoding="utf-8"?>
<formControlPr xmlns="http://schemas.microsoft.com/office/spreadsheetml/2009/9/main" objectType="CheckBox" fmlaLink="Utdata!$EU$2" lockText="1"/>
</file>

<file path=xl/ctrlProps/ctrlProp110.xml><?xml version="1.0" encoding="utf-8"?>
<formControlPr xmlns="http://schemas.microsoft.com/office/spreadsheetml/2009/9/main" objectType="CheckBox" fmlaLink="$T$9" lockText="1"/>
</file>

<file path=xl/ctrlProps/ctrlProp111.xml><?xml version="1.0" encoding="utf-8"?>
<formControlPr xmlns="http://schemas.microsoft.com/office/spreadsheetml/2009/9/main" objectType="CheckBox" fmlaLink="$T$60" lockText="1"/>
</file>

<file path=xl/ctrlProps/ctrlProp112.xml><?xml version="1.0" encoding="utf-8"?>
<formControlPr xmlns="http://schemas.microsoft.com/office/spreadsheetml/2009/9/main" objectType="CheckBox" fmlaLink="$T$75" lockText="1"/>
</file>

<file path=xl/ctrlProps/ctrlProp113.xml><?xml version="1.0" encoding="utf-8"?>
<formControlPr xmlns="http://schemas.microsoft.com/office/spreadsheetml/2009/9/main" objectType="CheckBox" fmlaLink="$T$76" lockText="1"/>
</file>

<file path=xl/ctrlProps/ctrlProp114.xml><?xml version="1.0" encoding="utf-8"?>
<formControlPr xmlns="http://schemas.microsoft.com/office/spreadsheetml/2009/9/main" objectType="CheckBox" fmlaLink="$T$77" lockText="1"/>
</file>

<file path=xl/ctrlProps/ctrlProp115.xml><?xml version="1.0" encoding="utf-8"?>
<formControlPr xmlns="http://schemas.microsoft.com/office/spreadsheetml/2009/9/main" objectType="CheckBox" fmlaLink="$T$78" lockText="1"/>
</file>

<file path=xl/ctrlProps/ctrlProp116.xml><?xml version="1.0" encoding="utf-8"?>
<formControlPr xmlns="http://schemas.microsoft.com/office/spreadsheetml/2009/9/main" objectType="CheckBox" fmlaLink="$T$79" lockText="1"/>
</file>

<file path=xl/ctrlProps/ctrlProp117.xml><?xml version="1.0" encoding="utf-8"?>
<formControlPr xmlns="http://schemas.microsoft.com/office/spreadsheetml/2009/9/main" objectType="CheckBox" fmlaLink="$T$80" lockText="1"/>
</file>

<file path=xl/ctrlProps/ctrlProp118.xml><?xml version="1.0" encoding="utf-8"?>
<formControlPr xmlns="http://schemas.microsoft.com/office/spreadsheetml/2009/9/main" objectType="CheckBox" fmlaLink="$T$9" lockText="1"/>
</file>

<file path=xl/ctrlProps/ctrlProp119.xml><?xml version="1.0" encoding="utf-8"?>
<formControlPr xmlns="http://schemas.microsoft.com/office/spreadsheetml/2009/9/main" objectType="CheckBox" fmlaLink="$T$81" lockText="1"/>
</file>

<file path=xl/ctrlProps/ctrlProp12.xml><?xml version="1.0" encoding="utf-8"?>
<formControlPr xmlns="http://schemas.microsoft.com/office/spreadsheetml/2009/9/main" objectType="CheckBox" checked="Checked" fmlaLink="Utdata!$EV$2" lockText="1"/>
</file>

<file path=xl/ctrlProps/ctrlProp120.xml><?xml version="1.0" encoding="utf-8"?>
<formControlPr xmlns="http://schemas.microsoft.com/office/spreadsheetml/2009/9/main" objectType="CheckBox" fmlaLink="$T$9" lockText="1"/>
</file>

<file path=xl/ctrlProps/ctrlProp121.xml><?xml version="1.0" encoding="utf-8"?>
<formControlPr xmlns="http://schemas.microsoft.com/office/spreadsheetml/2009/9/main" objectType="CheckBox" fmlaLink="$T$82" lockText="1"/>
</file>

<file path=xl/ctrlProps/ctrlProp122.xml><?xml version="1.0" encoding="utf-8"?>
<formControlPr xmlns="http://schemas.microsoft.com/office/spreadsheetml/2009/9/main" objectType="CheckBox" fmlaLink="$T$9" lockText="1"/>
</file>

<file path=xl/ctrlProps/ctrlProp123.xml><?xml version="1.0" encoding="utf-8"?>
<formControlPr xmlns="http://schemas.microsoft.com/office/spreadsheetml/2009/9/main" objectType="CheckBox" fmlaLink="$T$8" lockText="1"/>
</file>

<file path=xl/ctrlProps/ctrlProp124.xml><?xml version="1.0" encoding="utf-8"?>
<formControlPr xmlns="http://schemas.microsoft.com/office/spreadsheetml/2009/9/main" objectType="CheckBox" fmlaLink="$T$83" lockText="1"/>
</file>

<file path=xl/ctrlProps/ctrlProp125.xml><?xml version="1.0" encoding="utf-8"?>
<formControlPr xmlns="http://schemas.microsoft.com/office/spreadsheetml/2009/9/main" objectType="CheckBox" fmlaLink="$T$9" lockText="1"/>
</file>

<file path=xl/ctrlProps/ctrlProp126.xml><?xml version="1.0" encoding="utf-8"?>
<formControlPr xmlns="http://schemas.microsoft.com/office/spreadsheetml/2009/9/main" objectType="CheckBox" fmlaLink="$T$84" lockText="1"/>
</file>

<file path=xl/ctrlProps/ctrlProp127.xml><?xml version="1.0" encoding="utf-8"?>
<formControlPr xmlns="http://schemas.microsoft.com/office/spreadsheetml/2009/9/main" objectType="CheckBox" fmlaLink="$T$99" lockText="1"/>
</file>

<file path=xl/ctrlProps/ctrlProp128.xml><?xml version="1.0" encoding="utf-8"?>
<formControlPr xmlns="http://schemas.microsoft.com/office/spreadsheetml/2009/9/main" objectType="CheckBox" fmlaLink="$T$100" lockText="1"/>
</file>

<file path=xl/ctrlProps/ctrlProp129.xml><?xml version="1.0" encoding="utf-8"?>
<formControlPr xmlns="http://schemas.microsoft.com/office/spreadsheetml/2009/9/main" objectType="CheckBox" fmlaLink="$T$101" lockText="1"/>
</file>

<file path=xl/ctrlProps/ctrlProp13.xml><?xml version="1.0" encoding="utf-8"?>
<formControlPr xmlns="http://schemas.microsoft.com/office/spreadsheetml/2009/9/main" objectType="CheckBox" fmlaLink="Utdata!$EW$2" lockText="1"/>
</file>

<file path=xl/ctrlProps/ctrlProp130.xml><?xml version="1.0" encoding="utf-8"?>
<formControlPr xmlns="http://schemas.microsoft.com/office/spreadsheetml/2009/9/main" objectType="CheckBox" fmlaLink="$T$102" lockText="1"/>
</file>

<file path=xl/ctrlProps/ctrlProp131.xml><?xml version="1.0" encoding="utf-8"?>
<formControlPr xmlns="http://schemas.microsoft.com/office/spreadsheetml/2009/9/main" objectType="CheckBox" fmlaLink="$T$103" lockText="1"/>
</file>

<file path=xl/ctrlProps/ctrlProp132.xml><?xml version="1.0" encoding="utf-8"?>
<formControlPr xmlns="http://schemas.microsoft.com/office/spreadsheetml/2009/9/main" objectType="CheckBox" fmlaLink="$T$104" lockText="1"/>
</file>

<file path=xl/ctrlProps/ctrlProp133.xml><?xml version="1.0" encoding="utf-8"?>
<formControlPr xmlns="http://schemas.microsoft.com/office/spreadsheetml/2009/9/main" objectType="CheckBox" fmlaLink="$T$9" lockText="1"/>
</file>

<file path=xl/ctrlProps/ctrlProp134.xml><?xml version="1.0" encoding="utf-8"?>
<formControlPr xmlns="http://schemas.microsoft.com/office/spreadsheetml/2009/9/main" objectType="CheckBox" fmlaLink="$T$105" lockText="1"/>
</file>

<file path=xl/ctrlProps/ctrlProp135.xml><?xml version="1.0" encoding="utf-8"?>
<formControlPr xmlns="http://schemas.microsoft.com/office/spreadsheetml/2009/9/main" objectType="CheckBox" fmlaLink="$T$9" lockText="1"/>
</file>

<file path=xl/ctrlProps/ctrlProp136.xml><?xml version="1.0" encoding="utf-8"?>
<formControlPr xmlns="http://schemas.microsoft.com/office/spreadsheetml/2009/9/main" objectType="CheckBox" fmlaLink="$T$106" lockText="1"/>
</file>

<file path=xl/ctrlProps/ctrlProp137.xml><?xml version="1.0" encoding="utf-8"?>
<formControlPr xmlns="http://schemas.microsoft.com/office/spreadsheetml/2009/9/main" objectType="CheckBox" fmlaLink="$T$9" lockText="1"/>
</file>

<file path=xl/ctrlProps/ctrlProp138.xml><?xml version="1.0" encoding="utf-8"?>
<formControlPr xmlns="http://schemas.microsoft.com/office/spreadsheetml/2009/9/main" objectType="CheckBox" fmlaLink="$T$8" lockText="1"/>
</file>

<file path=xl/ctrlProps/ctrlProp139.xml><?xml version="1.0" encoding="utf-8"?>
<formControlPr xmlns="http://schemas.microsoft.com/office/spreadsheetml/2009/9/main" objectType="CheckBox" fmlaLink="$T$107" lockText="1"/>
</file>

<file path=xl/ctrlProps/ctrlProp14.xml><?xml version="1.0" encoding="utf-8"?>
<formControlPr xmlns="http://schemas.microsoft.com/office/spreadsheetml/2009/9/main" objectType="CheckBox" fmlaLink="Utdata!$ER$2" lockText="1"/>
</file>

<file path=xl/ctrlProps/ctrlProp140.xml><?xml version="1.0" encoding="utf-8"?>
<formControlPr xmlns="http://schemas.microsoft.com/office/spreadsheetml/2009/9/main" objectType="CheckBox" fmlaLink="$T$9" lockText="1"/>
</file>

<file path=xl/ctrlProps/ctrlProp141.xml><?xml version="1.0" encoding="utf-8"?>
<formControlPr xmlns="http://schemas.microsoft.com/office/spreadsheetml/2009/9/main" objectType="CheckBox" fmlaLink="$T$108" lockText="1"/>
</file>

<file path=xl/ctrlProps/ctrlProp142.xml><?xml version="1.0" encoding="utf-8"?>
<formControlPr xmlns="http://schemas.microsoft.com/office/spreadsheetml/2009/9/main" objectType="CheckBox" fmlaLink="$T$123" lockText="1"/>
</file>

<file path=xl/ctrlProps/ctrlProp143.xml><?xml version="1.0" encoding="utf-8"?>
<formControlPr xmlns="http://schemas.microsoft.com/office/spreadsheetml/2009/9/main" objectType="CheckBox" fmlaLink="$T$124" lockText="1"/>
</file>

<file path=xl/ctrlProps/ctrlProp144.xml><?xml version="1.0" encoding="utf-8"?>
<formControlPr xmlns="http://schemas.microsoft.com/office/spreadsheetml/2009/9/main" objectType="CheckBox" fmlaLink="$T$125" lockText="1"/>
</file>

<file path=xl/ctrlProps/ctrlProp145.xml><?xml version="1.0" encoding="utf-8"?>
<formControlPr xmlns="http://schemas.microsoft.com/office/spreadsheetml/2009/9/main" objectType="CheckBox" fmlaLink="$T$126" lockText="1"/>
</file>

<file path=xl/ctrlProps/ctrlProp146.xml><?xml version="1.0" encoding="utf-8"?>
<formControlPr xmlns="http://schemas.microsoft.com/office/spreadsheetml/2009/9/main" objectType="CheckBox" fmlaLink="$T$127" lockText="1"/>
</file>

<file path=xl/ctrlProps/ctrlProp147.xml><?xml version="1.0" encoding="utf-8"?>
<formControlPr xmlns="http://schemas.microsoft.com/office/spreadsheetml/2009/9/main" objectType="CheckBox" fmlaLink="$T$128" lockText="1"/>
</file>

<file path=xl/ctrlProps/ctrlProp148.xml><?xml version="1.0" encoding="utf-8"?>
<formControlPr xmlns="http://schemas.microsoft.com/office/spreadsheetml/2009/9/main" objectType="CheckBox" fmlaLink="$T$9" lockText="1"/>
</file>

<file path=xl/ctrlProps/ctrlProp149.xml><?xml version="1.0" encoding="utf-8"?>
<formControlPr xmlns="http://schemas.microsoft.com/office/spreadsheetml/2009/9/main" objectType="CheckBox" fmlaLink="$T$129" lockText="1"/>
</file>

<file path=xl/ctrlProps/ctrlProp15.xml><?xml version="1.0" encoding="utf-8"?>
<formControlPr xmlns="http://schemas.microsoft.com/office/spreadsheetml/2009/9/main" objectType="CheckBox" fmlaLink="Utdata!$ES$2" lockText="1"/>
</file>

<file path=xl/ctrlProps/ctrlProp150.xml><?xml version="1.0" encoding="utf-8"?>
<formControlPr xmlns="http://schemas.microsoft.com/office/spreadsheetml/2009/9/main" objectType="CheckBox" fmlaLink="$T$9" lockText="1"/>
</file>

<file path=xl/ctrlProps/ctrlProp151.xml><?xml version="1.0" encoding="utf-8"?>
<formControlPr xmlns="http://schemas.microsoft.com/office/spreadsheetml/2009/9/main" objectType="CheckBox" fmlaLink="$T$130" lockText="1"/>
</file>

<file path=xl/ctrlProps/ctrlProp152.xml><?xml version="1.0" encoding="utf-8"?>
<formControlPr xmlns="http://schemas.microsoft.com/office/spreadsheetml/2009/9/main" objectType="CheckBox" fmlaLink="$T$9" lockText="1"/>
</file>

<file path=xl/ctrlProps/ctrlProp153.xml><?xml version="1.0" encoding="utf-8"?>
<formControlPr xmlns="http://schemas.microsoft.com/office/spreadsheetml/2009/9/main" objectType="CheckBox" fmlaLink="$T$8" lockText="1"/>
</file>

<file path=xl/ctrlProps/ctrlProp154.xml><?xml version="1.0" encoding="utf-8"?>
<formControlPr xmlns="http://schemas.microsoft.com/office/spreadsheetml/2009/9/main" objectType="CheckBox" fmlaLink="$T$131" lockText="1"/>
</file>

<file path=xl/ctrlProps/ctrlProp155.xml><?xml version="1.0" encoding="utf-8"?>
<formControlPr xmlns="http://schemas.microsoft.com/office/spreadsheetml/2009/9/main" objectType="CheckBox" fmlaLink="$T$9" lockText="1"/>
</file>

<file path=xl/ctrlProps/ctrlProp156.xml><?xml version="1.0" encoding="utf-8"?>
<formControlPr xmlns="http://schemas.microsoft.com/office/spreadsheetml/2009/9/main" objectType="CheckBox" fmlaLink="$T$132" lockText="1"/>
</file>

<file path=xl/ctrlProps/ctrlProp157.xml><?xml version="1.0" encoding="utf-8"?>
<formControlPr xmlns="http://schemas.microsoft.com/office/spreadsheetml/2009/9/main" objectType="CheckBox" fmlaLink="$T$9" lockText="1"/>
</file>

<file path=xl/ctrlProps/ctrlProp158.xml><?xml version="1.0" encoding="utf-8"?>
<formControlPr xmlns="http://schemas.microsoft.com/office/spreadsheetml/2009/9/main" objectType="CheckBox" fmlaLink="$T$12" lockText="1"/>
</file>

<file path=xl/ctrlProps/ctrlProp159.xml><?xml version="1.0" encoding="utf-8"?>
<formControlPr xmlns="http://schemas.microsoft.com/office/spreadsheetml/2009/9/main" objectType="CheckBox" fmlaLink="$T$9" lockText="1"/>
</file>

<file path=xl/ctrlProps/ctrlProp16.xml><?xml version="1.0" encoding="utf-8"?>
<formControlPr xmlns="http://schemas.microsoft.com/office/spreadsheetml/2009/9/main" objectType="CheckBox" checked="Checked" fmlaLink="Utdata!$ET$2" lockText="1"/>
</file>

<file path=xl/ctrlProps/ctrlProp160.xml><?xml version="1.0" encoding="utf-8"?>
<formControlPr xmlns="http://schemas.microsoft.com/office/spreadsheetml/2009/9/main" objectType="CheckBox" fmlaLink="$T$12" lockText="1"/>
</file>

<file path=xl/ctrlProps/ctrlProp161.xml><?xml version="1.0" encoding="utf-8"?>
<formControlPr xmlns="http://schemas.microsoft.com/office/spreadsheetml/2009/9/main" objectType="CheckBox" fmlaLink="$T$9" lockText="1"/>
</file>

<file path=xl/ctrlProps/ctrlProp162.xml><?xml version="1.0" encoding="utf-8"?>
<formControlPr xmlns="http://schemas.microsoft.com/office/spreadsheetml/2009/9/main" objectType="CheckBox" fmlaLink="$T$12" lockText="1"/>
</file>

<file path=xl/ctrlProps/ctrlProp163.xml><?xml version="1.0" encoding="utf-8"?>
<formControlPr xmlns="http://schemas.microsoft.com/office/spreadsheetml/2009/9/main" objectType="CheckBox" fmlaLink="$T$9" lockText="1"/>
</file>

<file path=xl/ctrlProps/ctrlProp164.xml><?xml version="1.0" encoding="utf-8"?>
<formControlPr xmlns="http://schemas.microsoft.com/office/spreadsheetml/2009/9/main" objectType="CheckBox" fmlaLink="$T$12" lockText="1"/>
</file>

<file path=xl/ctrlProps/ctrlProp165.xml><?xml version="1.0" encoding="utf-8"?>
<formControlPr xmlns="http://schemas.microsoft.com/office/spreadsheetml/2009/9/main" objectType="CheckBox" fmlaLink="$T$9" lockText="1"/>
</file>

<file path=xl/ctrlProps/ctrlProp166.xml><?xml version="1.0" encoding="utf-8"?>
<formControlPr xmlns="http://schemas.microsoft.com/office/spreadsheetml/2009/9/main" objectType="CheckBox" fmlaLink="$T$12" lockText="1"/>
</file>

<file path=xl/ctrlProps/ctrlProp17.xml><?xml version="1.0" encoding="utf-8"?>
<formControlPr xmlns="http://schemas.microsoft.com/office/spreadsheetml/2009/9/main" objectType="CheckBox" checked="Checked" fmlaLink="Utdata!$EB$2" lockText="1"/>
</file>

<file path=xl/ctrlProps/ctrlProp18.xml><?xml version="1.0" encoding="utf-8"?>
<formControlPr xmlns="http://schemas.microsoft.com/office/spreadsheetml/2009/9/main" objectType="CheckBox" fmlaLink="Utdata!$EC$2" lockText="1"/>
</file>

<file path=xl/ctrlProps/ctrlProp19.xml><?xml version="1.0" encoding="utf-8"?>
<formControlPr xmlns="http://schemas.microsoft.com/office/spreadsheetml/2009/9/main" objectType="CheckBox" fmlaLink="Utdata!$ED$2" lockText="1"/>
</file>

<file path=xl/ctrlProps/ctrlProp2.xml><?xml version="1.0" encoding="utf-8"?>
<formControlPr xmlns="http://schemas.microsoft.com/office/spreadsheetml/2009/9/main" objectType="CheckBox" checked="Checked" fmlaLink="Utdata!$EX$2" lockText="1"/>
</file>

<file path=xl/ctrlProps/ctrlProp20.xml><?xml version="1.0" encoding="utf-8"?>
<formControlPr xmlns="http://schemas.microsoft.com/office/spreadsheetml/2009/9/main" objectType="CheckBox" checked="Checked" fmlaLink="Utdata!$FO$2" lockText="1"/>
</file>

<file path=xl/ctrlProps/ctrlProp21.xml><?xml version="1.0" encoding="utf-8"?>
<formControlPr xmlns="http://schemas.microsoft.com/office/spreadsheetml/2009/9/main" objectType="CheckBox" fmlaLink="Utdata!$FP$2" lockText="1"/>
</file>

<file path=xl/ctrlProps/ctrlProp22.xml><?xml version="1.0" encoding="utf-8"?>
<formControlPr xmlns="http://schemas.microsoft.com/office/spreadsheetml/2009/9/main" objectType="CheckBox" fmlaLink="Utdata!$FQ$2" lockText="1"/>
</file>

<file path=xl/ctrlProps/ctrlProp23.xml><?xml version="1.0" encoding="utf-8"?>
<formControlPr xmlns="http://schemas.microsoft.com/office/spreadsheetml/2009/9/main" objectType="CheckBox" fmlaLink="Utdata!$GL$2" lockText="1"/>
</file>

<file path=xl/ctrlProps/ctrlProp24.xml><?xml version="1.0" encoding="utf-8"?>
<formControlPr xmlns="http://schemas.microsoft.com/office/spreadsheetml/2009/9/main" objectType="CheckBox" checked="Checked" fmlaLink="Utdata!$GM$2" lockText="1"/>
</file>

<file path=xl/ctrlProps/ctrlProp25.xml><?xml version="1.0" encoding="utf-8"?>
<formControlPr xmlns="http://schemas.microsoft.com/office/spreadsheetml/2009/9/main" objectType="CheckBox" checked="Checked" fmlaLink="Utdata!$GN$2" lockText="1"/>
</file>

<file path=xl/ctrlProps/ctrlProp26.xml><?xml version="1.0" encoding="utf-8"?>
<formControlPr xmlns="http://schemas.microsoft.com/office/spreadsheetml/2009/9/main" objectType="CheckBox" fmlaLink="Utdata!$GO$2" lockText="1"/>
</file>

<file path=xl/ctrlProps/ctrlProp27.xml><?xml version="1.0" encoding="utf-8"?>
<formControlPr xmlns="http://schemas.microsoft.com/office/spreadsheetml/2009/9/main" objectType="CheckBox" fmlaLink="Utdata!$GU$2" lockText="1"/>
</file>

<file path=xl/ctrlProps/ctrlProp28.xml><?xml version="1.0" encoding="utf-8"?>
<formControlPr xmlns="http://schemas.microsoft.com/office/spreadsheetml/2009/9/main" objectType="CheckBox" checked="Checked" fmlaLink="Utdata!$GT$2" lockText="1"/>
</file>

<file path=xl/ctrlProps/ctrlProp29.xml><?xml version="1.0" encoding="utf-8"?>
<formControlPr xmlns="http://schemas.microsoft.com/office/spreadsheetml/2009/9/main" objectType="CheckBox" fmlaLink="Utdata!$JY$2" lockText="1"/>
</file>

<file path=xl/ctrlProps/ctrlProp3.xml><?xml version="1.0" encoding="utf-8"?>
<formControlPr xmlns="http://schemas.microsoft.com/office/spreadsheetml/2009/9/main" objectType="CheckBox" checked="Checked" fmlaLink="Utdata!$EY$2" lockText="1"/>
</file>

<file path=xl/ctrlProps/ctrlProp30.xml><?xml version="1.0" encoding="utf-8"?>
<formControlPr xmlns="http://schemas.microsoft.com/office/spreadsheetml/2009/9/main" objectType="CheckBox" checked="Checked" fmlaLink="Utdata!$JX$2" lockText="1"/>
</file>

<file path=xl/ctrlProps/ctrlProp31.xml><?xml version="1.0" encoding="utf-8"?>
<formControlPr xmlns="http://schemas.microsoft.com/office/spreadsheetml/2009/9/main" objectType="CheckBox" fmlaLink="Utdata!$JZ$2" lockText="1"/>
</file>

<file path=xl/ctrlProps/ctrlProp32.xml><?xml version="1.0" encoding="utf-8"?>
<formControlPr xmlns="http://schemas.microsoft.com/office/spreadsheetml/2009/9/main" objectType="CheckBox" checked="Checked" fmlaLink="Utdata!$KA$2" lockText="1"/>
</file>

<file path=xl/ctrlProps/ctrlProp33.xml><?xml version="1.0" encoding="utf-8"?>
<formControlPr xmlns="http://schemas.microsoft.com/office/spreadsheetml/2009/9/main" objectType="CheckBox" fmlaLink="Utdata!$KB$2" lockText="1"/>
</file>

<file path=xl/ctrlProps/ctrlProp34.xml><?xml version="1.0" encoding="utf-8"?>
<formControlPr xmlns="http://schemas.microsoft.com/office/spreadsheetml/2009/9/main" objectType="CheckBox" fmlaLink="Utdata!$KC$2" lockText="1"/>
</file>

<file path=xl/ctrlProps/ctrlProp35.xml><?xml version="1.0" encoding="utf-8"?>
<formControlPr xmlns="http://schemas.microsoft.com/office/spreadsheetml/2009/9/main" objectType="CheckBox" fmlaLink="Utdata!$KD$2" lockText="1"/>
</file>

<file path=xl/ctrlProps/ctrlProp36.xml><?xml version="1.0" encoding="utf-8"?>
<formControlPr xmlns="http://schemas.microsoft.com/office/spreadsheetml/2009/9/main" objectType="CheckBox" fmlaLink="Utdata!$KE$2" lockText="1"/>
</file>

<file path=xl/ctrlProps/ctrlProp37.xml><?xml version="1.0" encoding="utf-8"?>
<formControlPr xmlns="http://schemas.microsoft.com/office/spreadsheetml/2009/9/main" objectType="CheckBox" fmlaLink="Utdata!$KF$2" lockText="1"/>
</file>

<file path=xl/ctrlProps/ctrlProp38.xml><?xml version="1.0" encoding="utf-8"?>
<formControlPr xmlns="http://schemas.microsoft.com/office/spreadsheetml/2009/9/main" objectType="CheckBox" checked="Checked" fmlaLink="Utdata!$KG$2" lockText="1"/>
</file>

<file path=xl/ctrlProps/ctrlProp39.xml><?xml version="1.0" encoding="utf-8"?>
<formControlPr xmlns="http://schemas.microsoft.com/office/spreadsheetml/2009/9/main" objectType="CheckBox" fmlaLink="Utdata!$KH$2" lockText="1"/>
</file>

<file path=xl/ctrlProps/ctrlProp4.xml><?xml version="1.0" encoding="utf-8"?>
<formControlPr xmlns="http://schemas.microsoft.com/office/spreadsheetml/2009/9/main" objectType="CheckBox" fmlaLink="Utdata!$FA$2" lockText="1"/>
</file>

<file path=xl/ctrlProps/ctrlProp40.xml><?xml version="1.0" encoding="utf-8"?>
<formControlPr xmlns="http://schemas.microsoft.com/office/spreadsheetml/2009/9/main" objectType="CheckBox" fmlaLink="Utdata!$KI$2" lockText="1"/>
</file>

<file path=xl/ctrlProps/ctrlProp41.xml><?xml version="1.0" encoding="utf-8"?>
<formControlPr xmlns="http://schemas.microsoft.com/office/spreadsheetml/2009/9/main" objectType="CheckBox" checked="Checked" fmlaLink="Utdata!$KJ$2" lockText="1"/>
</file>

<file path=xl/ctrlProps/ctrlProp42.xml><?xml version="1.0" encoding="utf-8"?>
<formControlPr xmlns="http://schemas.microsoft.com/office/spreadsheetml/2009/9/main" objectType="CheckBox" fmlaLink="Utdata!$KK$2" lockText="1"/>
</file>

<file path=xl/ctrlProps/ctrlProp43.xml><?xml version="1.0" encoding="utf-8"?>
<formControlPr xmlns="http://schemas.microsoft.com/office/spreadsheetml/2009/9/main" objectType="CheckBox" fmlaLink="Utdata!$KL$2" lockText="1"/>
</file>

<file path=xl/ctrlProps/ctrlProp44.xml><?xml version="1.0" encoding="utf-8"?>
<formControlPr xmlns="http://schemas.microsoft.com/office/spreadsheetml/2009/9/main" objectType="CheckBox" checked="Checked" fmlaLink="Utdata!$KM$2" lockText="1"/>
</file>

<file path=xl/ctrlProps/ctrlProp45.xml><?xml version="1.0" encoding="utf-8"?>
<formControlPr xmlns="http://schemas.microsoft.com/office/spreadsheetml/2009/9/main" objectType="CheckBox" fmlaLink="Utdata!$KN$2" lockText="1"/>
</file>

<file path=xl/ctrlProps/ctrlProp46.xml><?xml version="1.0" encoding="utf-8"?>
<formControlPr xmlns="http://schemas.microsoft.com/office/spreadsheetml/2009/9/main" objectType="CheckBox" fmlaLink="Utdata!$KO$2" lockText="1"/>
</file>

<file path=xl/ctrlProps/ctrlProp47.xml><?xml version="1.0" encoding="utf-8"?>
<formControlPr xmlns="http://schemas.microsoft.com/office/spreadsheetml/2009/9/main" objectType="CheckBox" checked="Checked" fmlaLink="Utdata!$KP$2" lockText="1"/>
</file>

<file path=xl/ctrlProps/ctrlProp48.xml><?xml version="1.0" encoding="utf-8"?>
<formControlPr xmlns="http://schemas.microsoft.com/office/spreadsheetml/2009/9/main" objectType="CheckBox" fmlaLink="Utdata!$KQ$2" lockText="1"/>
</file>

<file path=xl/ctrlProps/ctrlProp49.xml><?xml version="1.0" encoding="utf-8"?>
<formControlPr xmlns="http://schemas.microsoft.com/office/spreadsheetml/2009/9/main" objectType="CheckBox" fmlaLink="Utdata!$KR$2" lockText="1"/>
</file>

<file path=xl/ctrlProps/ctrlProp5.xml><?xml version="1.0" encoding="utf-8"?>
<formControlPr xmlns="http://schemas.microsoft.com/office/spreadsheetml/2009/9/main" objectType="CheckBox" fmlaLink="Utdata!$EL$2" lockText="1"/>
</file>

<file path=xl/ctrlProps/ctrlProp50.xml><?xml version="1.0" encoding="utf-8"?>
<formControlPr xmlns="http://schemas.microsoft.com/office/spreadsheetml/2009/9/main" objectType="CheckBox" fmlaLink="Utdata!$AI$2" lockText="1"/>
</file>

<file path=xl/ctrlProps/ctrlProp51.xml><?xml version="1.0" encoding="utf-8"?>
<formControlPr xmlns="http://schemas.microsoft.com/office/spreadsheetml/2009/9/main" objectType="CheckBox" fmlaLink="Utdata!$AJ$2" lockText="1"/>
</file>

<file path=xl/ctrlProps/ctrlProp52.xml><?xml version="1.0" encoding="utf-8"?>
<formControlPr xmlns="http://schemas.microsoft.com/office/spreadsheetml/2009/9/main" objectType="CheckBox" checked="Checked" fmlaLink="Utdata!$AK$2" lockText="1"/>
</file>

<file path=xl/ctrlProps/ctrlProp53.xml><?xml version="1.0" encoding="utf-8"?>
<formControlPr xmlns="http://schemas.microsoft.com/office/spreadsheetml/2009/9/main" objectType="CheckBox" checked="Checked" fmlaLink="Utdata!$B$2" lockText="1"/>
</file>

<file path=xl/ctrlProps/ctrlProp54.xml><?xml version="1.0" encoding="utf-8"?>
<formControlPr xmlns="http://schemas.microsoft.com/office/spreadsheetml/2009/9/main" objectType="CheckBox" fmlaLink="Utdata!$C$2" lockText="1"/>
</file>

<file path=xl/ctrlProps/ctrlProp55.xml><?xml version="1.0" encoding="utf-8"?>
<formControlPr xmlns="http://schemas.microsoft.com/office/spreadsheetml/2009/9/main" objectType="CheckBox" fmlaLink="Utdata!$D$2" lockText="1"/>
</file>

<file path=xl/ctrlProps/ctrlProp56.xml><?xml version="1.0" encoding="utf-8"?>
<formControlPr xmlns="http://schemas.microsoft.com/office/spreadsheetml/2009/9/main" objectType="CheckBox" checked="Checked" fmlaLink="Utdata!$S$2" lockText="1"/>
</file>

<file path=xl/ctrlProps/ctrlProp57.xml><?xml version="1.0" encoding="utf-8"?>
<formControlPr xmlns="http://schemas.microsoft.com/office/spreadsheetml/2009/9/main" objectType="CheckBox" checked="Checked" fmlaLink="Utdata!$V$2" lockText="1"/>
</file>

<file path=xl/ctrlProps/ctrlProp58.xml><?xml version="1.0" encoding="utf-8"?>
<formControlPr xmlns="http://schemas.microsoft.com/office/spreadsheetml/2009/9/main" objectType="CheckBox" fmlaLink="Utdata!$T$2" lockText="1"/>
</file>

<file path=xl/ctrlProps/ctrlProp59.xml><?xml version="1.0" encoding="utf-8"?>
<formControlPr xmlns="http://schemas.microsoft.com/office/spreadsheetml/2009/9/main" objectType="CheckBox" fmlaLink="Utdata!$W$2" lockText="1"/>
</file>

<file path=xl/ctrlProps/ctrlProp6.xml><?xml version="1.0" encoding="utf-8"?>
<formControlPr xmlns="http://schemas.microsoft.com/office/spreadsheetml/2009/9/main" objectType="CheckBox" fmlaLink="Utdata!$EM$2" lockText="1"/>
</file>

<file path=xl/ctrlProps/ctrlProp60.xml><?xml version="1.0" encoding="utf-8"?>
<formControlPr xmlns="http://schemas.microsoft.com/office/spreadsheetml/2009/9/main" objectType="CheckBox" fmlaLink="Utdata!$X$2" lockText="1"/>
</file>

<file path=xl/ctrlProps/ctrlProp61.xml><?xml version="1.0" encoding="utf-8"?>
<formControlPr xmlns="http://schemas.microsoft.com/office/spreadsheetml/2009/9/main" objectType="CheckBox" fmlaLink="Utdata!$U$2" lockText="1"/>
</file>

<file path=xl/ctrlProps/ctrlProp62.xml><?xml version="1.0" encoding="utf-8"?>
<formControlPr xmlns="http://schemas.microsoft.com/office/spreadsheetml/2009/9/main" objectType="CheckBox" checked="Checked" fmlaLink="Utdata!$E$2" lockText="1"/>
</file>

<file path=xl/ctrlProps/ctrlProp63.xml><?xml version="1.0" encoding="utf-8"?>
<formControlPr xmlns="http://schemas.microsoft.com/office/spreadsheetml/2009/9/main" objectType="CheckBox" fmlaLink="Utdata!$F$2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fmlaLink="Utdata!$JQ$2" lockText="1" noThreeD="1"/>
</file>

<file path=xl/ctrlProps/ctrlProp67.xml><?xml version="1.0" encoding="utf-8"?>
<formControlPr xmlns="http://schemas.microsoft.com/office/spreadsheetml/2009/9/main" objectType="CheckBox" fmlaLink="$T$3" lockText="1"/>
</file>

<file path=xl/ctrlProps/ctrlProp68.xml><?xml version="1.0" encoding="utf-8"?>
<formControlPr xmlns="http://schemas.microsoft.com/office/spreadsheetml/2009/9/main" objectType="CheckBox" fmlaLink="$T$4" lockText="1"/>
</file>

<file path=xl/ctrlProps/ctrlProp69.xml><?xml version="1.0" encoding="utf-8"?>
<formControlPr xmlns="http://schemas.microsoft.com/office/spreadsheetml/2009/9/main" objectType="CheckBox" fmlaLink="$T$5" lockText="1"/>
</file>

<file path=xl/ctrlProps/ctrlProp7.xml><?xml version="1.0" encoding="utf-8"?>
<formControlPr xmlns="http://schemas.microsoft.com/office/spreadsheetml/2009/9/main" objectType="CheckBox" checked="Checked" fmlaLink="Utdata!$EN$2" lockText="1"/>
</file>

<file path=xl/ctrlProps/ctrlProp70.xml><?xml version="1.0" encoding="utf-8"?>
<formControlPr xmlns="http://schemas.microsoft.com/office/spreadsheetml/2009/9/main" objectType="CheckBox" fmlaLink="$T$6" lockText="1"/>
</file>

<file path=xl/ctrlProps/ctrlProp71.xml><?xml version="1.0" encoding="utf-8"?>
<formControlPr xmlns="http://schemas.microsoft.com/office/spreadsheetml/2009/9/main" objectType="CheckBox" fmlaLink="$T$7" lockText="1"/>
</file>

<file path=xl/ctrlProps/ctrlProp72.xml><?xml version="1.0" encoding="utf-8"?>
<formControlPr xmlns="http://schemas.microsoft.com/office/spreadsheetml/2009/9/main" objectType="CheckBox" fmlaLink="$T$8" lockText="1"/>
</file>

<file path=xl/ctrlProps/ctrlProp73.xml><?xml version="1.0" encoding="utf-8"?>
<formControlPr xmlns="http://schemas.microsoft.com/office/spreadsheetml/2009/9/main" objectType="CheckBox" fmlaLink="$T$9" lockText="1"/>
</file>

<file path=xl/ctrlProps/ctrlProp74.xml><?xml version="1.0" encoding="utf-8"?>
<formControlPr xmlns="http://schemas.microsoft.com/office/spreadsheetml/2009/9/main" objectType="CheckBox" fmlaLink="$T$9" lockText="1"/>
</file>

<file path=xl/ctrlProps/ctrlProp75.xml><?xml version="1.0" encoding="utf-8"?>
<formControlPr xmlns="http://schemas.microsoft.com/office/spreadsheetml/2009/9/main" objectType="CheckBox" fmlaLink="$T$9" lockText="1"/>
</file>

<file path=xl/ctrlProps/ctrlProp76.xml><?xml version="1.0" encoding="utf-8"?>
<formControlPr xmlns="http://schemas.microsoft.com/office/spreadsheetml/2009/9/main" objectType="CheckBox" fmlaLink="$T$10" lockText="1"/>
</file>

<file path=xl/ctrlProps/ctrlProp77.xml><?xml version="1.0" encoding="utf-8"?>
<formControlPr xmlns="http://schemas.microsoft.com/office/spreadsheetml/2009/9/main" objectType="CheckBox" fmlaLink="$T$9" lockText="1"/>
</file>

<file path=xl/ctrlProps/ctrlProp78.xml><?xml version="1.0" encoding="utf-8"?>
<formControlPr xmlns="http://schemas.microsoft.com/office/spreadsheetml/2009/9/main" objectType="CheckBox" fmlaLink="$T$8" lockText="1"/>
</file>

<file path=xl/ctrlProps/ctrlProp79.xml><?xml version="1.0" encoding="utf-8"?>
<formControlPr xmlns="http://schemas.microsoft.com/office/spreadsheetml/2009/9/main" objectType="CheckBox" fmlaLink="$T$11" lockText="1"/>
</file>

<file path=xl/ctrlProps/ctrlProp8.xml><?xml version="1.0" encoding="utf-8"?>
<formControlPr xmlns="http://schemas.microsoft.com/office/spreadsheetml/2009/9/main" objectType="CheckBox" fmlaLink="Utdata!$EO$2" lockText="1"/>
</file>

<file path=xl/ctrlProps/ctrlProp80.xml><?xml version="1.0" encoding="utf-8"?>
<formControlPr xmlns="http://schemas.microsoft.com/office/spreadsheetml/2009/9/main" objectType="CheckBox" fmlaLink="$T$9" lockText="1"/>
</file>

<file path=xl/ctrlProps/ctrlProp81.xml><?xml version="1.0" encoding="utf-8"?>
<formControlPr xmlns="http://schemas.microsoft.com/office/spreadsheetml/2009/9/main" objectType="CheckBox" fmlaLink="$T$12" lockText="1"/>
</file>

<file path=xl/ctrlProps/ctrlProp82.xml><?xml version="1.0" encoding="utf-8"?>
<formControlPr xmlns="http://schemas.microsoft.com/office/spreadsheetml/2009/9/main" objectType="CheckBox" fmlaLink="$T$27" lockText="1"/>
</file>

<file path=xl/ctrlProps/ctrlProp83.xml><?xml version="1.0" encoding="utf-8"?>
<formControlPr xmlns="http://schemas.microsoft.com/office/spreadsheetml/2009/9/main" objectType="CheckBox" fmlaLink="$T$28" lockText="1"/>
</file>

<file path=xl/ctrlProps/ctrlProp84.xml><?xml version="1.0" encoding="utf-8"?>
<formControlPr xmlns="http://schemas.microsoft.com/office/spreadsheetml/2009/9/main" objectType="CheckBox" fmlaLink="$T$29" lockText="1"/>
</file>

<file path=xl/ctrlProps/ctrlProp85.xml><?xml version="1.0" encoding="utf-8"?>
<formControlPr xmlns="http://schemas.microsoft.com/office/spreadsheetml/2009/9/main" objectType="CheckBox" fmlaLink="$T$30" lockText="1"/>
</file>

<file path=xl/ctrlProps/ctrlProp86.xml><?xml version="1.0" encoding="utf-8"?>
<formControlPr xmlns="http://schemas.microsoft.com/office/spreadsheetml/2009/9/main" objectType="CheckBox" fmlaLink="$T$31" lockText="1"/>
</file>

<file path=xl/ctrlProps/ctrlProp87.xml><?xml version="1.0" encoding="utf-8"?>
<formControlPr xmlns="http://schemas.microsoft.com/office/spreadsheetml/2009/9/main" objectType="CheckBox" fmlaLink="$T$32" lockText="1"/>
</file>

<file path=xl/ctrlProps/ctrlProp88.xml><?xml version="1.0" encoding="utf-8"?>
<formControlPr xmlns="http://schemas.microsoft.com/office/spreadsheetml/2009/9/main" objectType="CheckBox" fmlaLink="$T$9" lockText="1"/>
</file>

<file path=xl/ctrlProps/ctrlProp89.xml><?xml version="1.0" encoding="utf-8"?>
<formControlPr xmlns="http://schemas.microsoft.com/office/spreadsheetml/2009/9/main" objectType="CheckBox" fmlaLink="$T$33" lockText="1"/>
</file>

<file path=xl/ctrlProps/ctrlProp9.xml><?xml version="1.0" encoding="utf-8"?>
<formControlPr xmlns="http://schemas.microsoft.com/office/spreadsheetml/2009/9/main" objectType="CheckBox" fmlaLink="Utdata!$EP$2" lockText="1"/>
</file>

<file path=xl/ctrlProps/ctrlProp90.xml><?xml version="1.0" encoding="utf-8"?>
<formControlPr xmlns="http://schemas.microsoft.com/office/spreadsheetml/2009/9/main" objectType="CheckBox" fmlaLink="$T$9" lockText="1"/>
</file>

<file path=xl/ctrlProps/ctrlProp91.xml><?xml version="1.0" encoding="utf-8"?>
<formControlPr xmlns="http://schemas.microsoft.com/office/spreadsheetml/2009/9/main" objectType="CheckBox" fmlaLink="$T$34" lockText="1"/>
</file>

<file path=xl/ctrlProps/ctrlProp92.xml><?xml version="1.0" encoding="utf-8"?>
<formControlPr xmlns="http://schemas.microsoft.com/office/spreadsheetml/2009/9/main" objectType="CheckBox" fmlaLink="$T$9" lockText="1"/>
</file>

<file path=xl/ctrlProps/ctrlProp93.xml><?xml version="1.0" encoding="utf-8"?>
<formControlPr xmlns="http://schemas.microsoft.com/office/spreadsheetml/2009/9/main" objectType="CheckBox" fmlaLink="$T$8" lockText="1"/>
</file>

<file path=xl/ctrlProps/ctrlProp94.xml><?xml version="1.0" encoding="utf-8"?>
<formControlPr xmlns="http://schemas.microsoft.com/office/spreadsheetml/2009/9/main" objectType="CheckBox" fmlaLink="$T$35" lockText="1"/>
</file>

<file path=xl/ctrlProps/ctrlProp95.xml><?xml version="1.0" encoding="utf-8"?>
<formControlPr xmlns="http://schemas.microsoft.com/office/spreadsheetml/2009/9/main" objectType="CheckBox" fmlaLink="$T$9" lockText="1"/>
</file>

<file path=xl/ctrlProps/ctrlProp96.xml><?xml version="1.0" encoding="utf-8"?>
<formControlPr xmlns="http://schemas.microsoft.com/office/spreadsheetml/2009/9/main" objectType="CheckBox" fmlaLink="$T$36" lockText="1"/>
</file>

<file path=xl/ctrlProps/ctrlProp97.xml><?xml version="1.0" encoding="utf-8"?>
<formControlPr xmlns="http://schemas.microsoft.com/office/spreadsheetml/2009/9/main" objectType="CheckBox" fmlaLink="$T$51" lockText="1"/>
</file>

<file path=xl/ctrlProps/ctrlProp98.xml><?xml version="1.0" encoding="utf-8"?>
<formControlPr xmlns="http://schemas.microsoft.com/office/spreadsheetml/2009/9/main" objectType="CheckBox" fmlaLink="$T$52" lockText="1"/>
</file>

<file path=xl/ctrlProps/ctrlProp99.xml><?xml version="1.0" encoding="utf-8"?>
<formControlPr xmlns="http://schemas.microsoft.com/office/spreadsheetml/2009/9/main" objectType="CheckBox" fmlaLink="$T$53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257175</xdr:colOff>
      <xdr:row>43</xdr:row>
      <xdr:rowOff>57150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43575" cy="82486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987470</xdr:colOff>
      <xdr:row>50</xdr:row>
      <xdr:rowOff>219075</xdr:rowOff>
    </xdr:from>
    <xdr:to>
      <xdr:col>7</xdr:col>
      <xdr:colOff>323405</xdr:colOff>
      <xdr:row>56</xdr:row>
      <xdr:rowOff>63175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470" y="9182100"/>
          <a:ext cx="7117860" cy="37588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329</xdr:row>
      <xdr:rowOff>0</xdr:rowOff>
    </xdr:from>
    <xdr:to>
      <xdr:col>2</xdr:col>
      <xdr:colOff>9525</xdr:colOff>
      <xdr:row>329</xdr:row>
      <xdr:rowOff>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 flipV="1">
          <a:off x="2276475" y="5459730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329</xdr:row>
      <xdr:rowOff>0</xdr:rowOff>
    </xdr:from>
    <xdr:to>
      <xdr:col>3</xdr:col>
      <xdr:colOff>0</xdr:colOff>
      <xdr:row>329</xdr:row>
      <xdr:rowOff>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 bwMode="auto">
        <a:xfrm flipV="1">
          <a:off x="3267075" y="5459730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329</xdr:row>
      <xdr:rowOff>0</xdr:rowOff>
    </xdr:from>
    <xdr:to>
      <xdr:col>4</xdr:col>
      <xdr:colOff>0</xdr:colOff>
      <xdr:row>329</xdr:row>
      <xdr:rowOff>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ShapeType="1"/>
        </xdr:cNvSpPr>
      </xdr:nvSpPr>
      <xdr:spPr bwMode="auto">
        <a:xfrm flipV="1">
          <a:off x="4248150" y="5459730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312</xdr:row>
          <xdr:rowOff>0</xdr:rowOff>
        </xdr:from>
        <xdr:to>
          <xdr:col>7</xdr:col>
          <xdr:colOff>60960</xdr:colOff>
          <xdr:row>313</xdr:row>
          <xdr:rowOff>0</xdr:rowOff>
        </xdr:to>
        <xdr:sp macro="" textlink="">
          <xdr:nvSpPr>
            <xdr:cNvPr id="1029" name="Check Box 5" descr="Beslutad av &#10;Länsstyrelsen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Beräkningsmodell Älgfrode (bifogas)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206</xdr:row>
          <xdr:rowOff>7620</xdr:rowOff>
        </xdr:from>
        <xdr:to>
          <xdr:col>2</xdr:col>
          <xdr:colOff>0</xdr:colOff>
          <xdr:row>206</xdr:row>
          <xdr:rowOff>259080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207</xdr:row>
          <xdr:rowOff>7620</xdr:rowOff>
        </xdr:from>
        <xdr:to>
          <xdr:col>2</xdr:col>
          <xdr:colOff>0</xdr:colOff>
          <xdr:row>207</xdr:row>
          <xdr:rowOff>259080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208</xdr:row>
          <xdr:rowOff>7620</xdr:rowOff>
        </xdr:from>
        <xdr:to>
          <xdr:col>2</xdr:col>
          <xdr:colOff>0</xdr:colOff>
          <xdr:row>208</xdr:row>
          <xdr:rowOff>259080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200</xdr:row>
          <xdr:rowOff>7620</xdr:rowOff>
        </xdr:from>
        <xdr:to>
          <xdr:col>2</xdr:col>
          <xdr:colOff>7620</xdr:colOff>
          <xdr:row>200</xdr:row>
          <xdr:rowOff>259080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200</xdr:row>
          <xdr:rowOff>7620</xdr:rowOff>
        </xdr:from>
        <xdr:to>
          <xdr:col>2</xdr:col>
          <xdr:colOff>922020</xdr:colOff>
          <xdr:row>200</xdr:row>
          <xdr:rowOff>259080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200</xdr:row>
          <xdr:rowOff>7620</xdr:rowOff>
        </xdr:from>
        <xdr:to>
          <xdr:col>4</xdr:col>
          <xdr:colOff>7620</xdr:colOff>
          <xdr:row>200</xdr:row>
          <xdr:rowOff>259080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201</xdr:row>
          <xdr:rowOff>7620</xdr:rowOff>
        </xdr:from>
        <xdr:to>
          <xdr:col>2</xdr:col>
          <xdr:colOff>7620</xdr:colOff>
          <xdr:row>201</xdr:row>
          <xdr:rowOff>259080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201</xdr:row>
          <xdr:rowOff>7620</xdr:rowOff>
        </xdr:from>
        <xdr:to>
          <xdr:col>2</xdr:col>
          <xdr:colOff>922020</xdr:colOff>
          <xdr:row>201</xdr:row>
          <xdr:rowOff>259080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201</xdr:row>
          <xdr:rowOff>7620</xdr:rowOff>
        </xdr:from>
        <xdr:to>
          <xdr:col>4</xdr:col>
          <xdr:colOff>7620</xdr:colOff>
          <xdr:row>201</xdr:row>
          <xdr:rowOff>259080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202</xdr:row>
          <xdr:rowOff>7620</xdr:rowOff>
        </xdr:from>
        <xdr:to>
          <xdr:col>2</xdr:col>
          <xdr:colOff>7620</xdr:colOff>
          <xdr:row>202</xdr:row>
          <xdr:rowOff>259080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202</xdr:row>
          <xdr:rowOff>7620</xdr:rowOff>
        </xdr:from>
        <xdr:to>
          <xdr:col>2</xdr:col>
          <xdr:colOff>922020</xdr:colOff>
          <xdr:row>202</xdr:row>
          <xdr:rowOff>259080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202</xdr:row>
          <xdr:rowOff>7620</xdr:rowOff>
        </xdr:from>
        <xdr:to>
          <xdr:col>4</xdr:col>
          <xdr:colOff>7620</xdr:colOff>
          <xdr:row>202</xdr:row>
          <xdr:rowOff>259080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203</xdr:row>
          <xdr:rowOff>7620</xdr:rowOff>
        </xdr:from>
        <xdr:to>
          <xdr:col>2</xdr:col>
          <xdr:colOff>7620</xdr:colOff>
          <xdr:row>203</xdr:row>
          <xdr:rowOff>259080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203</xdr:row>
          <xdr:rowOff>7620</xdr:rowOff>
        </xdr:from>
        <xdr:to>
          <xdr:col>2</xdr:col>
          <xdr:colOff>922020</xdr:colOff>
          <xdr:row>203</xdr:row>
          <xdr:rowOff>259080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203</xdr:row>
          <xdr:rowOff>7620</xdr:rowOff>
        </xdr:from>
        <xdr:to>
          <xdr:col>4</xdr:col>
          <xdr:colOff>7620</xdr:colOff>
          <xdr:row>203</xdr:row>
          <xdr:rowOff>259080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186</xdr:row>
          <xdr:rowOff>7620</xdr:rowOff>
        </xdr:from>
        <xdr:to>
          <xdr:col>2</xdr:col>
          <xdr:colOff>7620</xdr:colOff>
          <xdr:row>186</xdr:row>
          <xdr:rowOff>259080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186</xdr:row>
          <xdr:rowOff>7620</xdr:rowOff>
        </xdr:from>
        <xdr:to>
          <xdr:col>2</xdr:col>
          <xdr:colOff>922020</xdr:colOff>
          <xdr:row>186</xdr:row>
          <xdr:rowOff>259080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186</xdr:row>
          <xdr:rowOff>7620</xdr:rowOff>
        </xdr:from>
        <xdr:to>
          <xdr:col>4</xdr:col>
          <xdr:colOff>7620</xdr:colOff>
          <xdr:row>186</xdr:row>
          <xdr:rowOff>259080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222</xdr:row>
          <xdr:rowOff>7620</xdr:rowOff>
        </xdr:from>
        <xdr:to>
          <xdr:col>2</xdr:col>
          <xdr:colOff>0</xdr:colOff>
          <xdr:row>222</xdr:row>
          <xdr:rowOff>259080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222</xdr:row>
          <xdr:rowOff>7620</xdr:rowOff>
        </xdr:from>
        <xdr:to>
          <xdr:col>2</xdr:col>
          <xdr:colOff>914400</xdr:colOff>
          <xdr:row>222</xdr:row>
          <xdr:rowOff>259080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222</xdr:row>
          <xdr:rowOff>7620</xdr:rowOff>
        </xdr:from>
        <xdr:to>
          <xdr:col>4</xdr:col>
          <xdr:colOff>0</xdr:colOff>
          <xdr:row>222</xdr:row>
          <xdr:rowOff>259080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234</xdr:row>
          <xdr:rowOff>7620</xdr:rowOff>
        </xdr:from>
        <xdr:to>
          <xdr:col>2</xdr:col>
          <xdr:colOff>0</xdr:colOff>
          <xdr:row>234</xdr:row>
          <xdr:rowOff>259080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234</xdr:row>
          <xdr:rowOff>7620</xdr:rowOff>
        </xdr:from>
        <xdr:to>
          <xdr:col>2</xdr:col>
          <xdr:colOff>914400</xdr:colOff>
          <xdr:row>234</xdr:row>
          <xdr:rowOff>259080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235</xdr:row>
          <xdr:rowOff>7620</xdr:rowOff>
        </xdr:from>
        <xdr:to>
          <xdr:col>2</xdr:col>
          <xdr:colOff>0</xdr:colOff>
          <xdr:row>235</xdr:row>
          <xdr:rowOff>259080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235</xdr:row>
          <xdr:rowOff>7620</xdr:rowOff>
        </xdr:from>
        <xdr:to>
          <xdr:col>2</xdr:col>
          <xdr:colOff>914400</xdr:colOff>
          <xdr:row>235</xdr:row>
          <xdr:rowOff>259080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247</xdr:row>
          <xdr:rowOff>7620</xdr:rowOff>
        </xdr:from>
        <xdr:to>
          <xdr:col>2</xdr:col>
          <xdr:colOff>914400</xdr:colOff>
          <xdr:row>247</xdr:row>
          <xdr:rowOff>259080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247</xdr:row>
          <xdr:rowOff>7620</xdr:rowOff>
        </xdr:from>
        <xdr:to>
          <xdr:col>2</xdr:col>
          <xdr:colOff>0</xdr:colOff>
          <xdr:row>247</xdr:row>
          <xdr:rowOff>259080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327</xdr:row>
          <xdr:rowOff>7620</xdr:rowOff>
        </xdr:from>
        <xdr:to>
          <xdr:col>2</xdr:col>
          <xdr:colOff>914400</xdr:colOff>
          <xdr:row>327</xdr:row>
          <xdr:rowOff>259080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2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327</xdr:row>
          <xdr:rowOff>7620</xdr:rowOff>
        </xdr:from>
        <xdr:to>
          <xdr:col>2</xdr:col>
          <xdr:colOff>0</xdr:colOff>
          <xdr:row>327</xdr:row>
          <xdr:rowOff>259080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2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327</xdr:row>
          <xdr:rowOff>7620</xdr:rowOff>
        </xdr:from>
        <xdr:to>
          <xdr:col>4</xdr:col>
          <xdr:colOff>0</xdr:colOff>
          <xdr:row>327</xdr:row>
          <xdr:rowOff>259080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2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328</xdr:row>
          <xdr:rowOff>7620</xdr:rowOff>
        </xdr:from>
        <xdr:to>
          <xdr:col>2</xdr:col>
          <xdr:colOff>0</xdr:colOff>
          <xdr:row>328</xdr:row>
          <xdr:rowOff>259080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2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328</xdr:row>
          <xdr:rowOff>7620</xdr:rowOff>
        </xdr:from>
        <xdr:to>
          <xdr:col>2</xdr:col>
          <xdr:colOff>914400</xdr:colOff>
          <xdr:row>328</xdr:row>
          <xdr:rowOff>259080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2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328</xdr:row>
          <xdr:rowOff>7620</xdr:rowOff>
        </xdr:from>
        <xdr:to>
          <xdr:col>4</xdr:col>
          <xdr:colOff>0</xdr:colOff>
          <xdr:row>328</xdr:row>
          <xdr:rowOff>259080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2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329</xdr:row>
          <xdr:rowOff>7620</xdr:rowOff>
        </xdr:from>
        <xdr:to>
          <xdr:col>2</xdr:col>
          <xdr:colOff>0</xdr:colOff>
          <xdr:row>329</xdr:row>
          <xdr:rowOff>259080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2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329</xdr:row>
          <xdr:rowOff>7620</xdr:rowOff>
        </xdr:from>
        <xdr:to>
          <xdr:col>2</xdr:col>
          <xdr:colOff>914400</xdr:colOff>
          <xdr:row>329</xdr:row>
          <xdr:rowOff>259080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2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329</xdr:row>
          <xdr:rowOff>7620</xdr:rowOff>
        </xdr:from>
        <xdr:to>
          <xdr:col>4</xdr:col>
          <xdr:colOff>0</xdr:colOff>
          <xdr:row>329</xdr:row>
          <xdr:rowOff>259080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2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330</xdr:row>
          <xdr:rowOff>7620</xdr:rowOff>
        </xdr:from>
        <xdr:to>
          <xdr:col>2</xdr:col>
          <xdr:colOff>0</xdr:colOff>
          <xdr:row>330</xdr:row>
          <xdr:rowOff>259080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2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330</xdr:row>
          <xdr:rowOff>7620</xdr:rowOff>
        </xdr:from>
        <xdr:to>
          <xdr:col>2</xdr:col>
          <xdr:colOff>914400</xdr:colOff>
          <xdr:row>330</xdr:row>
          <xdr:rowOff>259080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2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330</xdr:row>
          <xdr:rowOff>7620</xdr:rowOff>
        </xdr:from>
        <xdr:to>
          <xdr:col>4</xdr:col>
          <xdr:colOff>0</xdr:colOff>
          <xdr:row>330</xdr:row>
          <xdr:rowOff>259080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2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331</xdr:row>
          <xdr:rowOff>7620</xdr:rowOff>
        </xdr:from>
        <xdr:to>
          <xdr:col>2</xdr:col>
          <xdr:colOff>0</xdr:colOff>
          <xdr:row>331</xdr:row>
          <xdr:rowOff>259080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2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331</xdr:row>
          <xdr:rowOff>7620</xdr:rowOff>
        </xdr:from>
        <xdr:to>
          <xdr:col>2</xdr:col>
          <xdr:colOff>914400</xdr:colOff>
          <xdr:row>331</xdr:row>
          <xdr:rowOff>259080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2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331</xdr:row>
          <xdr:rowOff>7620</xdr:rowOff>
        </xdr:from>
        <xdr:to>
          <xdr:col>4</xdr:col>
          <xdr:colOff>0</xdr:colOff>
          <xdr:row>331</xdr:row>
          <xdr:rowOff>259080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2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332</xdr:row>
          <xdr:rowOff>7620</xdr:rowOff>
        </xdr:from>
        <xdr:to>
          <xdr:col>2</xdr:col>
          <xdr:colOff>0</xdr:colOff>
          <xdr:row>332</xdr:row>
          <xdr:rowOff>259080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2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332</xdr:row>
          <xdr:rowOff>7620</xdr:rowOff>
        </xdr:from>
        <xdr:to>
          <xdr:col>2</xdr:col>
          <xdr:colOff>914400</xdr:colOff>
          <xdr:row>332</xdr:row>
          <xdr:rowOff>259080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2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332</xdr:row>
          <xdr:rowOff>7620</xdr:rowOff>
        </xdr:from>
        <xdr:to>
          <xdr:col>4</xdr:col>
          <xdr:colOff>0</xdr:colOff>
          <xdr:row>332</xdr:row>
          <xdr:rowOff>259080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2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333</xdr:row>
          <xdr:rowOff>7620</xdr:rowOff>
        </xdr:from>
        <xdr:to>
          <xdr:col>2</xdr:col>
          <xdr:colOff>0</xdr:colOff>
          <xdr:row>333</xdr:row>
          <xdr:rowOff>259080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2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333</xdr:row>
          <xdr:rowOff>7620</xdr:rowOff>
        </xdr:from>
        <xdr:to>
          <xdr:col>2</xdr:col>
          <xdr:colOff>914400</xdr:colOff>
          <xdr:row>333</xdr:row>
          <xdr:rowOff>259080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2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333</xdr:row>
          <xdr:rowOff>7620</xdr:rowOff>
        </xdr:from>
        <xdr:to>
          <xdr:col>4</xdr:col>
          <xdr:colOff>0</xdr:colOff>
          <xdr:row>333</xdr:row>
          <xdr:rowOff>259080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2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62</xdr:row>
          <xdr:rowOff>7620</xdr:rowOff>
        </xdr:from>
        <xdr:to>
          <xdr:col>2</xdr:col>
          <xdr:colOff>7620</xdr:colOff>
          <xdr:row>62</xdr:row>
          <xdr:rowOff>259080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2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62</xdr:row>
          <xdr:rowOff>7620</xdr:rowOff>
        </xdr:from>
        <xdr:to>
          <xdr:col>2</xdr:col>
          <xdr:colOff>922020</xdr:colOff>
          <xdr:row>62</xdr:row>
          <xdr:rowOff>259080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2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62</xdr:row>
          <xdr:rowOff>7620</xdr:rowOff>
        </xdr:from>
        <xdr:to>
          <xdr:col>4</xdr:col>
          <xdr:colOff>7620</xdr:colOff>
          <xdr:row>62</xdr:row>
          <xdr:rowOff>259080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2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38100</xdr:rowOff>
        </xdr:from>
        <xdr:to>
          <xdr:col>5</xdr:col>
          <xdr:colOff>0</xdr:colOff>
          <xdr:row>2</xdr:row>
          <xdr:rowOff>266700</xdr:rowOff>
        </xdr:to>
        <xdr:sp macro="" textlink="">
          <xdr:nvSpPr>
            <xdr:cNvPr id="1250" name="Check Box 226" descr="Beslutad av &#10;Länsstyrelsen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2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Älgskötselplan (nytt älgskötselområde/ny period)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274320</xdr:rowOff>
        </xdr:from>
        <xdr:to>
          <xdr:col>5</xdr:col>
          <xdr:colOff>0</xdr:colOff>
          <xdr:row>2</xdr:row>
          <xdr:rowOff>525780</xdr:rowOff>
        </xdr:to>
        <xdr:sp macro="" textlink="">
          <xdr:nvSpPr>
            <xdr:cNvPr id="1251" name="Check Box 227" descr="Beslutad av &#10;Länsstyrelsen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2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Reviderad älgskötselplan (inom pågående period)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556260</xdr:rowOff>
        </xdr:from>
        <xdr:to>
          <xdr:col>5</xdr:col>
          <xdr:colOff>0</xdr:colOff>
          <xdr:row>2</xdr:row>
          <xdr:rowOff>807720</xdr:rowOff>
        </xdr:to>
        <xdr:sp macro="" textlink="">
          <xdr:nvSpPr>
            <xdr:cNvPr id="1252" name="Check Box 228" descr="Beslutad av &#10;Länsstyrelsen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2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Reviderad avskjutningsplan (inom pågående period)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28</xdr:row>
          <xdr:rowOff>38100</xdr:rowOff>
        </xdr:from>
        <xdr:to>
          <xdr:col>1</xdr:col>
          <xdr:colOff>906780</xdr:colOff>
          <xdr:row>29</xdr:row>
          <xdr:rowOff>7620</xdr:rowOff>
        </xdr:to>
        <xdr:sp macro="" textlink="">
          <xdr:nvSpPr>
            <xdr:cNvPr id="1253" name="Check Box 229" descr="Beslutad av &#10;Länsstyrelsen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2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Registrerad företrädare i Länsstyrelsens älgjaktsregister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32</xdr:row>
          <xdr:rowOff>38100</xdr:rowOff>
        </xdr:from>
        <xdr:to>
          <xdr:col>0</xdr:col>
          <xdr:colOff>922020</xdr:colOff>
          <xdr:row>33</xdr:row>
          <xdr:rowOff>7620</xdr:rowOff>
        </xdr:to>
        <xdr:sp macro="" textlink="">
          <xdr:nvSpPr>
            <xdr:cNvPr id="1254" name="Check Box 230" descr="Beslutad av &#10;Länsstyrelsen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2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Ordförande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3</xdr:col>
          <xdr:colOff>868680</xdr:colOff>
          <xdr:row>29</xdr:row>
          <xdr:rowOff>236220</xdr:rowOff>
        </xdr:to>
        <xdr:sp macro="" textlink="">
          <xdr:nvSpPr>
            <xdr:cNvPr id="1255" name="Check Box 231" descr="Beslutad av &#10;Länsstyrelsen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2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Ny företrädare (Länsstyrelsen byter företrädare i älgjaktsregister)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1181100</xdr:colOff>
          <xdr:row>32</xdr:row>
          <xdr:rowOff>22860</xdr:rowOff>
        </xdr:from>
        <xdr:to>
          <xdr:col>0</xdr:col>
          <xdr:colOff>1965960</xdr:colOff>
          <xdr:row>32</xdr:row>
          <xdr:rowOff>259080</xdr:rowOff>
        </xdr:to>
        <xdr:sp macro="" textlink="">
          <xdr:nvSpPr>
            <xdr:cNvPr id="1256" name="Check Box 232" descr="Beslutad av &#10;Länsstyrelsen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2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Sekreterare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32</xdr:row>
          <xdr:rowOff>38100</xdr:rowOff>
        </xdr:from>
        <xdr:to>
          <xdr:col>2</xdr:col>
          <xdr:colOff>0</xdr:colOff>
          <xdr:row>33</xdr:row>
          <xdr:rowOff>7620</xdr:rowOff>
        </xdr:to>
        <xdr:sp macro="" textlink="">
          <xdr:nvSpPr>
            <xdr:cNvPr id="1257" name="Check Box 233" descr="Beslutad av &#10;Länsstyrelsen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2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Annat: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3</xdr:col>
          <xdr:colOff>868680</xdr:colOff>
          <xdr:row>30</xdr:row>
          <xdr:rowOff>236220</xdr:rowOff>
        </xdr:to>
        <xdr:sp macro="" textlink="">
          <xdr:nvSpPr>
            <xdr:cNvPr id="1258" name="Check Box 234" descr="Beslutad av &#10;Länsstyrelsen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2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Ändrade adress eller kontaktuppgifter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38100</xdr:rowOff>
        </xdr:from>
        <xdr:to>
          <xdr:col>5</xdr:col>
          <xdr:colOff>0</xdr:colOff>
          <xdr:row>4</xdr:row>
          <xdr:rowOff>0</xdr:rowOff>
        </xdr:to>
        <xdr:sp macro="" textlink="">
          <xdr:nvSpPr>
            <xdr:cNvPr id="1259" name="Check Box 235" descr="Beslutad av &#10;Länsstyrelsen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2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Nytt ärende (planen har inte lämnats tidigare)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4</xdr:row>
          <xdr:rowOff>0</xdr:rowOff>
        </xdr:from>
        <xdr:to>
          <xdr:col>3</xdr:col>
          <xdr:colOff>655320</xdr:colOff>
          <xdr:row>5</xdr:row>
          <xdr:rowOff>22860</xdr:rowOff>
        </xdr:to>
        <xdr:sp macro="" textlink="">
          <xdr:nvSpPr>
            <xdr:cNvPr id="1260" name="Check Box 236" descr="Beslutad av &#10;Länsstyrelsen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2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Till befintligt ärende. Diarie nr: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11</xdr:row>
          <xdr:rowOff>7620</xdr:rowOff>
        </xdr:from>
        <xdr:to>
          <xdr:col>5</xdr:col>
          <xdr:colOff>22860</xdr:colOff>
          <xdr:row>11</xdr:row>
          <xdr:rowOff>251460</xdr:rowOff>
        </xdr:to>
        <xdr:sp macro="" textlink="">
          <xdr:nvSpPr>
            <xdr:cNvPr id="1274" name="Check Box 250" descr="Beslutad av &#10;Länsstyrelsen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2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Beslutad av Länsstyrelsen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11</xdr:row>
          <xdr:rowOff>297180</xdr:rowOff>
        </xdr:from>
        <xdr:to>
          <xdr:col>5</xdr:col>
          <xdr:colOff>22860</xdr:colOff>
          <xdr:row>11</xdr:row>
          <xdr:rowOff>533400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2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Ansökt areal (nytt/ändrat område)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313</xdr:row>
          <xdr:rowOff>68580</xdr:rowOff>
        </xdr:from>
        <xdr:to>
          <xdr:col>7</xdr:col>
          <xdr:colOff>609600</xdr:colOff>
          <xdr:row>314</xdr:row>
          <xdr:rowOff>22860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2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Annan beräkning/förslag (bifogas)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66675</xdr:rowOff>
    </xdr:from>
    <xdr:to>
      <xdr:col>3</xdr:col>
      <xdr:colOff>628650</xdr:colOff>
      <xdr:row>94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36419</xdr:colOff>
      <xdr:row>48</xdr:row>
      <xdr:rowOff>155202</xdr:rowOff>
    </xdr:from>
    <xdr:to>
      <xdr:col>11</xdr:col>
      <xdr:colOff>549088</xdr:colOff>
      <xdr:row>72</xdr:row>
      <xdr:rowOff>33619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549088</xdr:colOff>
      <xdr:row>51</xdr:row>
      <xdr:rowOff>56029</xdr:rowOff>
    </xdr:from>
    <xdr:to>
      <xdr:col>5</xdr:col>
      <xdr:colOff>863412</xdr:colOff>
      <xdr:row>72</xdr:row>
      <xdr:rowOff>31935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43142</xdr:colOff>
      <xdr:row>51</xdr:row>
      <xdr:rowOff>33618</xdr:rowOff>
    </xdr:from>
    <xdr:to>
      <xdr:col>2</xdr:col>
      <xdr:colOff>357468</xdr:colOff>
      <xdr:row>72</xdr:row>
      <xdr:rowOff>17370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110</xdr:row>
      <xdr:rowOff>66675</xdr:rowOff>
    </xdr:from>
    <xdr:to>
      <xdr:col>3</xdr:col>
      <xdr:colOff>628650</xdr:colOff>
      <xdr:row>121</xdr:row>
      <xdr:rowOff>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914400</xdr:colOff>
      <xdr:row>110</xdr:row>
      <xdr:rowOff>47625</xdr:rowOff>
    </xdr:from>
    <xdr:to>
      <xdr:col>10</xdr:col>
      <xdr:colOff>123825</xdr:colOff>
      <xdr:row>120</xdr:row>
      <xdr:rowOff>142875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58270</xdr:colOff>
      <xdr:row>211</xdr:row>
      <xdr:rowOff>154641</xdr:rowOff>
    </xdr:from>
    <xdr:to>
      <xdr:col>7</xdr:col>
      <xdr:colOff>11206</xdr:colOff>
      <xdr:row>243</xdr:row>
      <xdr:rowOff>112059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19051</xdr:rowOff>
    </xdr:from>
    <xdr:to>
      <xdr:col>9</xdr:col>
      <xdr:colOff>0</xdr:colOff>
      <xdr:row>20</xdr:row>
      <xdr:rowOff>1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28574</xdr:colOff>
      <xdr:row>20</xdr:row>
      <xdr:rowOff>76200</xdr:rowOff>
    </xdr:from>
    <xdr:to>
      <xdr:col>9</xdr:col>
      <xdr:colOff>9525</xdr:colOff>
      <xdr:row>41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47</xdr:row>
      <xdr:rowOff>28575</xdr:rowOff>
    </xdr:from>
    <xdr:to>
      <xdr:col>8</xdr:col>
      <xdr:colOff>600075</xdr:colOff>
      <xdr:row>60</xdr:row>
      <xdr:rowOff>123825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57150</xdr:colOff>
      <xdr:row>0</xdr:row>
      <xdr:rowOff>19051</xdr:rowOff>
    </xdr:from>
    <xdr:to>
      <xdr:col>19</xdr:col>
      <xdr:colOff>28575</xdr:colOff>
      <xdr:row>20</xdr:row>
      <xdr:rowOff>19051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66675</xdr:colOff>
      <xdr:row>20</xdr:row>
      <xdr:rowOff>85725</xdr:rowOff>
    </xdr:from>
    <xdr:to>
      <xdr:col>19</xdr:col>
      <xdr:colOff>38100</xdr:colOff>
      <xdr:row>41</xdr:row>
      <xdr:rowOff>9525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542925</xdr:colOff>
      <xdr:row>24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542925</xdr:colOff>
      <xdr:row>24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0</xdr:colOff>
      <xdr:row>23</xdr:row>
      <xdr:rowOff>161925</xdr:rowOff>
    </xdr:to>
    <xdr:graphicFrame macro="">
      <xdr:nvGraphicFramePr>
        <xdr:cNvPr id="2" name="Diagram 1" title="Kalvvikter i k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9525</xdr:colOff>
      <xdr:row>25</xdr:row>
      <xdr:rowOff>142875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</xdr:row>
          <xdr:rowOff>7620</xdr:rowOff>
        </xdr:from>
        <xdr:to>
          <xdr:col>3</xdr:col>
          <xdr:colOff>601980</xdr:colOff>
          <xdr:row>3</xdr:row>
          <xdr:rowOff>38100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B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</xdr:row>
          <xdr:rowOff>7620</xdr:rowOff>
        </xdr:from>
        <xdr:to>
          <xdr:col>3</xdr:col>
          <xdr:colOff>601980</xdr:colOff>
          <xdr:row>4</xdr:row>
          <xdr:rowOff>38100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B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4</xdr:row>
          <xdr:rowOff>7620</xdr:rowOff>
        </xdr:from>
        <xdr:to>
          <xdr:col>3</xdr:col>
          <xdr:colOff>601980</xdr:colOff>
          <xdr:row>5</xdr:row>
          <xdr:rowOff>38100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B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</xdr:row>
          <xdr:rowOff>7620</xdr:rowOff>
        </xdr:from>
        <xdr:to>
          <xdr:col>3</xdr:col>
          <xdr:colOff>601980</xdr:colOff>
          <xdr:row>6</xdr:row>
          <xdr:rowOff>38100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B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6</xdr:row>
          <xdr:rowOff>7620</xdr:rowOff>
        </xdr:from>
        <xdr:to>
          <xdr:col>3</xdr:col>
          <xdr:colOff>601980</xdr:colOff>
          <xdr:row>7</xdr:row>
          <xdr:rowOff>38100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B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7</xdr:row>
          <xdr:rowOff>7620</xdr:rowOff>
        </xdr:from>
        <xdr:to>
          <xdr:col>3</xdr:col>
          <xdr:colOff>601980</xdr:colOff>
          <xdr:row>8</xdr:row>
          <xdr:rowOff>38100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B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8</xdr:row>
          <xdr:rowOff>7620</xdr:rowOff>
        </xdr:from>
        <xdr:to>
          <xdr:col>3</xdr:col>
          <xdr:colOff>601980</xdr:colOff>
          <xdr:row>9</xdr:row>
          <xdr:rowOff>38100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B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8</xdr:row>
          <xdr:rowOff>7620</xdr:rowOff>
        </xdr:from>
        <xdr:to>
          <xdr:col>3</xdr:col>
          <xdr:colOff>601980</xdr:colOff>
          <xdr:row>9</xdr:row>
          <xdr:rowOff>38100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B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9</xdr:row>
          <xdr:rowOff>7620</xdr:rowOff>
        </xdr:from>
        <xdr:to>
          <xdr:col>3</xdr:col>
          <xdr:colOff>601980</xdr:colOff>
          <xdr:row>10</xdr:row>
          <xdr:rowOff>38100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B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9</xdr:row>
          <xdr:rowOff>7620</xdr:rowOff>
        </xdr:from>
        <xdr:to>
          <xdr:col>3</xdr:col>
          <xdr:colOff>601980</xdr:colOff>
          <xdr:row>10</xdr:row>
          <xdr:rowOff>38100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B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10</xdr:row>
          <xdr:rowOff>7620</xdr:rowOff>
        </xdr:from>
        <xdr:to>
          <xdr:col>3</xdr:col>
          <xdr:colOff>601980</xdr:colOff>
          <xdr:row>11</xdr:row>
          <xdr:rowOff>38100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B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10</xdr:row>
          <xdr:rowOff>7620</xdr:rowOff>
        </xdr:from>
        <xdr:to>
          <xdr:col>3</xdr:col>
          <xdr:colOff>601980</xdr:colOff>
          <xdr:row>11</xdr:row>
          <xdr:rowOff>38100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B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10</xdr:row>
          <xdr:rowOff>7620</xdr:rowOff>
        </xdr:from>
        <xdr:to>
          <xdr:col>3</xdr:col>
          <xdr:colOff>601980</xdr:colOff>
          <xdr:row>11</xdr:row>
          <xdr:rowOff>38100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B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11</xdr:row>
          <xdr:rowOff>7620</xdr:rowOff>
        </xdr:from>
        <xdr:to>
          <xdr:col>3</xdr:col>
          <xdr:colOff>601980</xdr:colOff>
          <xdr:row>12</xdr:row>
          <xdr:rowOff>30480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B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11</xdr:row>
          <xdr:rowOff>7620</xdr:rowOff>
        </xdr:from>
        <xdr:to>
          <xdr:col>3</xdr:col>
          <xdr:colOff>601980</xdr:colOff>
          <xdr:row>12</xdr:row>
          <xdr:rowOff>30480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B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26</xdr:row>
          <xdr:rowOff>7620</xdr:rowOff>
        </xdr:from>
        <xdr:to>
          <xdr:col>3</xdr:col>
          <xdr:colOff>601980</xdr:colOff>
          <xdr:row>27</xdr:row>
          <xdr:rowOff>38100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B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27</xdr:row>
          <xdr:rowOff>7620</xdr:rowOff>
        </xdr:from>
        <xdr:to>
          <xdr:col>3</xdr:col>
          <xdr:colOff>601980</xdr:colOff>
          <xdr:row>28</xdr:row>
          <xdr:rowOff>38100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B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28</xdr:row>
          <xdr:rowOff>7620</xdr:rowOff>
        </xdr:from>
        <xdr:to>
          <xdr:col>3</xdr:col>
          <xdr:colOff>601980</xdr:colOff>
          <xdr:row>29</xdr:row>
          <xdr:rowOff>38100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B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29</xdr:row>
          <xdr:rowOff>7620</xdr:rowOff>
        </xdr:from>
        <xdr:to>
          <xdr:col>3</xdr:col>
          <xdr:colOff>601980</xdr:colOff>
          <xdr:row>30</xdr:row>
          <xdr:rowOff>38100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B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30</xdr:row>
          <xdr:rowOff>7620</xdr:rowOff>
        </xdr:from>
        <xdr:to>
          <xdr:col>3</xdr:col>
          <xdr:colOff>601980</xdr:colOff>
          <xdr:row>31</xdr:row>
          <xdr:rowOff>38100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B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31</xdr:row>
          <xdr:rowOff>7620</xdr:rowOff>
        </xdr:from>
        <xdr:to>
          <xdr:col>3</xdr:col>
          <xdr:colOff>601980</xdr:colOff>
          <xdr:row>32</xdr:row>
          <xdr:rowOff>38100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B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32</xdr:row>
          <xdr:rowOff>7620</xdr:rowOff>
        </xdr:from>
        <xdr:to>
          <xdr:col>3</xdr:col>
          <xdr:colOff>601980</xdr:colOff>
          <xdr:row>33</xdr:row>
          <xdr:rowOff>38100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B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32</xdr:row>
          <xdr:rowOff>7620</xdr:rowOff>
        </xdr:from>
        <xdr:to>
          <xdr:col>3</xdr:col>
          <xdr:colOff>601980</xdr:colOff>
          <xdr:row>33</xdr:row>
          <xdr:rowOff>38100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B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33</xdr:row>
          <xdr:rowOff>7620</xdr:rowOff>
        </xdr:from>
        <xdr:to>
          <xdr:col>3</xdr:col>
          <xdr:colOff>601980</xdr:colOff>
          <xdr:row>34</xdr:row>
          <xdr:rowOff>38100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B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33</xdr:row>
          <xdr:rowOff>7620</xdr:rowOff>
        </xdr:from>
        <xdr:to>
          <xdr:col>3</xdr:col>
          <xdr:colOff>601980</xdr:colOff>
          <xdr:row>34</xdr:row>
          <xdr:rowOff>38100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B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34</xdr:row>
          <xdr:rowOff>7620</xdr:rowOff>
        </xdr:from>
        <xdr:to>
          <xdr:col>3</xdr:col>
          <xdr:colOff>601980</xdr:colOff>
          <xdr:row>35</xdr:row>
          <xdr:rowOff>38100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B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34</xdr:row>
          <xdr:rowOff>7620</xdr:rowOff>
        </xdr:from>
        <xdr:to>
          <xdr:col>3</xdr:col>
          <xdr:colOff>601980</xdr:colOff>
          <xdr:row>35</xdr:row>
          <xdr:rowOff>38100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B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34</xdr:row>
          <xdr:rowOff>7620</xdr:rowOff>
        </xdr:from>
        <xdr:to>
          <xdr:col>3</xdr:col>
          <xdr:colOff>601980</xdr:colOff>
          <xdr:row>35</xdr:row>
          <xdr:rowOff>38100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B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35</xdr:row>
          <xdr:rowOff>7620</xdr:rowOff>
        </xdr:from>
        <xdr:to>
          <xdr:col>3</xdr:col>
          <xdr:colOff>601980</xdr:colOff>
          <xdr:row>36</xdr:row>
          <xdr:rowOff>30480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B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35</xdr:row>
          <xdr:rowOff>7620</xdr:rowOff>
        </xdr:from>
        <xdr:to>
          <xdr:col>3</xdr:col>
          <xdr:colOff>601980</xdr:colOff>
          <xdr:row>36</xdr:row>
          <xdr:rowOff>30480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B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50</xdr:row>
          <xdr:rowOff>7620</xdr:rowOff>
        </xdr:from>
        <xdr:to>
          <xdr:col>3</xdr:col>
          <xdr:colOff>601980</xdr:colOff>
          <xdr:row>51</xdr:row>
          <xdr:rowOff>38100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B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51</xdr:row>
          <xdr:rowOff>7620</xdr:rowOff>
        </xdr:from>
        <xdr:to>
          <xdr:col>3</xdr:col>
          <xdr:colOff>601980</xdr:colOff>
          <xdr:row>52</xdr:row>
          <xdr:rowOff>38100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B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52</xdr:row>
          <xdr:rowOff>7620</xdr:rowOff>
        </xdr:from>
        <xdr:to>
          <xdr:col>3</xdr:col>
          <xdr:colOff>601980</xdr:colOff>
          <xdr:row>53</xdr:row>
          <xdr:rowOff>38100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B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53</xdr:row>
          <xdr:rowOff>7620</xdr:rowOff>
        </xdr:from>
        <xdr:to>
          <xdr:col>3</xdr:col>
          <xdr:colOff>601980</xdr:colOff>
          <xdr:row>54</xdr:row>
          <xdr:rowOff>38100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B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54</xdr:row>
          <xdr:rowOff>7620</xdr:rowOff>
        </xdr:from>
        <xdr:to>
          <xdr:col>3</xdr:col>
          <xdr:colOff>601980</xdr:colOff>
          <xdr:row>55</xdr:row>
          <xdr:rowOff>38100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B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55</xdr:row>
          <xdr:rowOff>7620</xdr:rowOff>
        </xdr:from>
        <xdr:to>
          <xdr:col>3</xdr:col>
          <xdr:colOff>601980</xdr:colOff>
          <xdr:row>56</xdr:row>
          <xdr:rowOff>38100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B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56</xdr:row>
          <xdr:rowOff>7620</xdr:rowOff>
        </xdr:from>
        <xdr:to>
          <xdr:col>3</xdr:col>
          <xdr:colOff>601980</xdr:colOff>
          <xdr:row>57</xdr:row>
          <xdr:rowOff>38100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B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56</xdr:row>
          <xdr:rowOff>7620</xdr:rowOff>
        </xdr:from>
        <xdr:to>
          <xdr:col>3</xdr:col>
          <xdr:colOff>601980</xdr:colOff>
          <xdr:row>57</xdr:row>
          <xdr:rowOff>38100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B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57</xdr:row>
          <xdr:rowOff>7620</xdr:rowOff>
        </xdr:from>
        <xdr:to>
          <xdr:col>3</xdr:col>
          <xdr:colOff>601980</xdr:colOff>
          <xdr:row>58</xdr:row>
          <xdr:rowOff>38100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B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57</xdr:row>
          <xdr:rowOff>7620</xdr:rowOff>
        </xdr:from>
        <xdr:to>
          <xdr:col>3</xdr:col>
          <xdr:colOff>601980</xdr:colOff>
          <xdr:row>58</xdr:row>
          <xdr:rowOff>38100</xdr:rowOff>
        </xdr:to>
        <xdr:sp macro="" textlink=""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  <a:ext uri="{FF2B5EF4-FFF2-40B4-BE49-F238E27FC236}">
                  <a16:creationId xmlns:a16="http://schemas.microsoft.com/office/drawing/2014/main" id="{00000000-0008-0000-0B00-00002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58</xdr:row>
          <xdr:rowOff>7620</xdr:rowOff>
        </xdr:from>
        <xdr:to>
          <xdr:col>3</xdr:col>
          <xdr:colOff>601980</xdr:colOff>
          <xdr:row>59</xdr:row>
          <xdr:rowOff>38100</xdr:rowOff>
        </xdr:to>
        <xdr:sp macro="" textlink=""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  <a:ext uri="{FF2B5EF4-FFF2-40B4-BE49-F238E27FC236}">
                  <a16:creationId xmlns:a16="http://schemas.microsoft.com/office/drawing/2014/main" id="{00000000-0008-0000-0B00-00002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58</xdr:row>
          <xdr:rowOff>7620</xdr:rowOff>
        </xdr:from>
        <xdr:to>
          <xdr:col>3</xdr:col>
          <xdr:colOff>601980</xdr:colOff>
          <xdr:row>59</xdr:row>
          <xdr:rowOff>38100</xdr:rowOff>
        </xdr:to>
        <xdr:sp macro="" textlink=""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  <a:ext uri="{FF2B5EF4-FFF2-40B4-BE49-F238E27FC236}">
                  <a16:creationId xmlns:a16="http://schemas.microsoft.com/office/drawing/2014/main" id="{00000000-0008-0000-0B00-00002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58</xdr:row>
          <xdr:rowOff>7620</xdr:rowOff>
        </xdr:from>
        <xdr:to>
          <xdr:col>3</xdr:col>
          <xdr:colOff>601980</xdr:colOff>
          <xdr:row>59</xdr:row>
          <xdr:rowOff>38100</xdr:rowOff>
        </xdr:to>
        <xdr:sp macro="" textlink=""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  <a:ext uri="{FF2B5EF4-FFF2-40B4-BE49-F238E27FC236}">
                  <a16:creationId xmlns:a16="http://schemas.microsoft.com/office/drawing/2014/main" id="{00000000-0008-0000-0B00-00002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59</xdr:row>
          <xdr:rowOff>7620</xdr:rowOff>
        </xdr:from>
        <xdr:to>
          <xdr:col>3</xdr:col>
          <xdr:colOff>601980</xdr:colOff>
          <xdr:row>60</xdr:row>
          <xdr:rowOff>30480</xdr:rowOff>
        </xdr:to>
        <xdr:sp macro="" textlink=""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  <a:ext uri="{FF2B5EF4-FFF2-40B4-BE49-F238E27FC236}">
                  <a16:creationId xmlns:a16="http://schemas.microsoft.com/office/drawing/2014/main" id="{00000000-0008-0000-0B00-00002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59</xdr:row>
          <xdr:rowOff>7620</xdr:rowOff>
        </xdr:from>
        <xdr:to>
          <xdr:col>3</xdr:col>
          <xdr:colOff>601980</xdr:colOff>
          <xdr:row>60</xdr:row>
          <xdr:rowOff>30480</xdr:rowOff>
        </xdr:to>
        <xdr:sp macro="" textlink=""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  <a:ext uri="{FF2B5EF4-FFF2-40B4-BE49-F238E27FC236}">
                  <a16:creationId xmlns:a16="http://schemas.microsoft.com/office/drawing/2014/main" id="{00000000-0008-0000-0B00-00002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74</xdr:row>
          <xdr:rowOff>7620</xdr:rowOff>
        </xdr:from>
        <xdr:to>
          <xdr:col>3</xdr:col>
          <xdr:colOff>601980</xdr:colOff>
          <xdr:row>75</xdr:row>
          <xdr:rowOff>38100</xdr:rowOff>
        </xdr:to>
        <xdr:sp macro="" textlink=""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  <a:ext uri="{FF2B5EF4-FFF2-40B4-BE49-F238E27FC236}">
                  <a16:creationId xmlns:a16="http://schemas.microsoft.com/office/drawing/2014/main" id="{00000000-0008-0000-0B00-00002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75</xdr:row>
          <xdr:rowOff>7620</xdr:rowOff>
        </xdr:from>
        <xdr:to>
          <xdr:col>3</xdr:col>
          <xdr:colOff>601980</xdr:colOff>
          <xdr:row>76</xdr:row>
          <xdr:rowOff>38100</xdr:rowOff>
        </xdr:to>
        <xdr:sp macro="" textlink=""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  <a:ext uri="{FF2B5EF4-FFF2-40B4-BE49-F238E27FC236}">
                  <a16:creationId xmlns:a16="http://schemas.microsoft.com/office/drawing/2014/main" id="{00000000-0008-0000-0B00-00002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76</xdr:row>
          <xdr:rowOff>7620</xdr:rowOff>
        </xdr:from>
        <xdr:to>
          <xdr:col>3</xdr:col>
          <xdr:colOff>601980</xdr:colOff>
          <xdr:row>77</xdr:row>
          <xdr:rowOff>38100</xdr:rowOff>
        </xdr:to>
        <xdr:sp macro="" textlink=""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  <a:ext uri="{FF2B5EF4-FFF2-40B4-BE49-F238E27FC236}">
                  <a16:creationId xmlns:a16="http://schemas.microsoft.com/office/drawing/2014/main" id="{00000000-0008-0000-0B00-00003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77</xdr:row>
          <xdr:rowOff>7620</xdr:rowOff>
        </xdr:from>
        <xdr:to>
          <xdr:col>3</xdr:col>
          <xdr:colOff>601980</xdr:colOff>
          <xdr:row>78</xdr:row>
          <xdr:rowOff>38100</xdr:rowOff>
        </xdr:to>
        <xdr:sp macro="" textlink=""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  <a:ext uri="{FF2B5EF4-FFF2-40B4-BE49-F238E27FC236}">
                  <a16:creationId xmlns:a16="http://schemas.microsoft.com/office/drawing/2014/main" id="{00000000-0008-0000-0B00-00003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78</xdr:row>
          <xdr:rowOff>7620</xdr:rowOff>
        </xdr:from>
        <xdr:to>
          <xdr:col>3</xdr:col>
          <xdr:colOff>601980</xdr:colOff>
          <xdr:row>79</xdr:row>
          <xdr:rowOff>38100</xdr:rowOff>
        </xdr:to>
        <xdr:sp macro="" textlink=""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  <a:ext uri="{FF2B5EF4-FFF2-40B4-BE49-F238E27FC236}">
                  <a16:creationId xmlns:a16="http://schemas.microsoft.com/office/drawing/2014/main" id="{00000000-0008-0000-0B00-00003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79</xdr:row>
          <xdr:rowOff>7620</xdr:rowOff>
        </xdr:from>
        <xdr:to>
          <xdr:col>3</xdr:col>
          <xdr:colOff>601980</xdr:colOff>
          <xdr:row>80</xdr:row>
          <xdr:rowOff>38100</xdr:rowOff>
        </xdr:to>
        <xdr:sp macro="" textlink=""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  <a:ext uri="{FF2B5EF4-FFF2-40B4-BE49-F238E27FC236}">
                  <a16:creationId xmlns:a16="http://schemas.microsoft.com/office/drawing/2014/main" id="{00000000-0008-0000-0B00-00003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80</xdr:row>
          <xdr:rowOff>7620</xdr:rowOff>
        </xdr:from>
        <xdr:to>
          <xdr:col>3</xdr:col>
          <xdr:colOff>601980</xdr:colOff>
          <xdr:row>81</xdr:row>
          <xdr:rowOff>38100</xdr:rowOff>
        </xdr:to>
        <xdr:sp macro="" textlink=""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  <a:ext uri="{FF2B5EF4-FFF2-40B4-BE49-F238E27FC236}">
                  <a16:creationId xmlns:a16="http://schemas.microsoft.com/office/drawing/2014/main" id="{00000000-0008-0000-0B00-00003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80</xdr:row>
          <xdr:rowOff>7620</xdr:rowOff>
        </xdr:from>
        <xdr:to>
          <xdr:col>3</xdr:col>
          <xdr:colOff>601980</xdr:colOff>
          <xdr:row>81</xdr:row>
          <xdr:rowOff>38100</xdr:rowOff>
        </xdr:to>
        <xdr:sp macro="" textlink=""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  <a:ext uri="{FF2B5EF4-FFF2-40B4-BE49-F238E27FC236}">
                  <a16:creationId xmlns:a16="http://schemas.microsoft.com/office/drawing/2014/main" id="{00000000-0008-0000-0B00-00003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81</xdr:row>
          <xdr:rowOff>7620</xdr:rowOff>
        </xdr:from>
        <xdr:to>
          <xdr:col>3</xdr:col>
          <xdr:colOff>601980</xdr:colOff>
          <xdr:row>82</xdr:row>
          <xdr:rowOff>38100</xdr:rowOff>
        </xdr:to>
        <xdr:sp macro="" textlink=""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  <a:ext uri="{FF2B5EF4-FFF2-40B4-BE49-F238E27FC236}">
                  <a16:creationId xmlns:a16="http://schemas.microsoft.com/office/drawing/2014/main" id="{00000000-0008-0000-0B00-00003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81</xdr:row>
          <xdr:rowOff>7620</xdr:rowOff>
        </xdr:from>
        <xdr:to>
          <xdr:col>3</xdr:col>
          <xdr:colOff>601980</xdr:colOff>
          <xdr:row>82</xdr:row>
          <xdr:rowOff>38100</xdr:rowOff>
        </xdr:to>
        <xdr:sp macro="" textlink=""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  <a:ext uri="{FF2B5EF4-FFF2-40B4-BE49-F238E27FC236}">
                  <a16:creationId xmlns:a16="http://schemas.microsoft.com/office/drawing/2014/main" id="{00000000-0008-0000-0B00-00003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82</xdr:row>
          <xdr:rowOff>7620</xdr:rowOff>
        </xdr:from>
        <xdr:to>
          <xdr:col>3</xdr:col>
          <xdr:colOff>601980</xdr:colOff>
          <xdr:row>83</xdr:row>
          <xdr:rowOff>38100</xdr:rowOff>
        </xdr:to>
        <xdr:sp macro="" textlink=""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  <a:ext uri="{FF2B5EF4-FFF2-40B4-BE49-F238E27FC236}">
                  <a16:creationId xmlns:a16="http://schemas.microsoft.com/office/drawing/2014/main" id="{00000000-0008-0000-0B00-00003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82</xdr:row>
          <xdr:rowOff>7620</xdr:rowOff>
        </xdr:from>
        <xdr:to>
          <xdr:col>3</xdr:col>
          <xdr:colOff>601980</xdr:colOff>
          <xdr:row>83</xdr:row>
          <xdr:rowOff>38100</xdr:rowOff>
        </xdr:to>
        <xdr:sp macro="" textlink=""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  <a:ext uri="{FF2B5EF4-FFF2-40B4-BE49-F238E27FC236}">
                  <a16:creationId xmlns:a16="http://schemas.microsoft.com/office/drawing/2014/main" id="{00000000-0008-0000-0B00-00003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82</xdr:row>
          <xdr:rowOff>7620</xdr:rowOff>
        </xdr:from>
        <xdr:to>
          <xdr:col>3</xdr:col>
          <xdr:colOff>601980</xdr:colOff>
          <xdr:row>83</xdr:row>
          <xdr:rowOff>38100</xdr:rowOff>
        </xdr:to>
        <xdr:sp macro="" textlink=""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  <a:ext uri="{FF2B5EF4-FFF2-40B4-BE49-F238E27FC236}">
                  <a16:creationId xmlns:a16="http://schemas.microsoft.com/office/drawing/2014/main" id="{00000000-0008-0000-0B00-00003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83</xdr:row>
          <xdr:rowOff>7620</xdr:rowOff>
        </xdr:from>
        <xdr:to>
          <xdr:col>3</xdr:col>
          <xdr:colOff>601980</xdr:colOff>
          <xdr:row>84</xdr:row>
          <xdr:rowOff>30480</xdr:rowOff>
        </xdr:to>
        <xdr:sp macro="" textlink=""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  <a:ext uri="{FF2B5EF4-FFF2-40B4-BE49-F238E27FC236}">
                  <a16:creationId xmlns:a16="http://schemas.microsoft.com/office/drawing/2014/main" id="{00000000-0008-0000-0B00-00003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83</xdr:row>
          <xdr:rowOff>7620</xdr:rowOff>
        </xdr:from>
        <xdr:to>
          <xdr:col>3</xdr:col>
          <xdr:colOff>601980</xdr:colOff>
          <xdr:row>84</xdr:row>
          <xdr:rowOff>30480</xdr:rowOff>
        </xdr:to>
        <xdr:sp macro="" textlink=""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  <a:ext uri="{FF2B5EF4-FFF2-40B4-BE49-F238E27FC236}">
                  <a16:creationId xmlns:a16="http://schemas.microsoft.com/office/drawing/2014/main" id="{00000000-0008-0000-0B00-00003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98</xdr:row>
          <xdr:rowOff>7620</xdr:rowOff>
        </xdr:from>
        <xdr:to>
          <xdr:col>3</xdr:col>
          <xdr:colOff>601980</xdr:colOff>
          <xdr:row>99</xdr:row>
          <xdr:rowOff>38100</xdr:rowOff>
        </xdr:to>
        <xdr:sp macro="" textlink=""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  <a:ext uri="{FF2B5EF4-FFF2-40B4-BE49-F238E27FC236}">
                  <a16:creationId xmlns:a16="http://schemas.microsoft.com/office/drawing/2014/main" id="{00000000-0008-0000-0B00-00003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99</xdr:row>
          <xdr:rowOff>7620</xdr:rowOff>
        </xdr:from>
        <xdr:to>
          <xdr:col>3</xdr:col>
          <xdr:colOff>601980</xdr:colOff>
          <xdr:row>100</xdr:row>
          <xdr:rowOff>38100</xdr:rowOff>
        </xdr:to>
        <xdr:sp macro="" textlink=""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  <a:ext uri="{FF2B5EF4-FFF2-40B4-BE49-F238E27FC236}">
                  <a16:creationId xmlns:a16="http://schemas.microsoft.com/office/drawing/2014/main" id="{00000000-0008-0000-0B00-00003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100</xdr:row>
          <xdr:rowOff>7620</xdr:rowOff>
        </xdr:from>
        <xdr:to>
          <xdr:col>3</xdr:col>
          <xdr:colOff>601980</xdr:colOff>
          <xdr:row>101</xdr:row>
          <xdr:rowOff>38100</xdr:rowOff>
        </xdr:to>
        <xdr:sp macro="" textlink=""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  <a:ext uri="{FF2B5EF4-FFF2-40B4-BE49-F238E27FC236}">
                  <a16:creationId xmlns:a16="http://schemas.microsoft.com/office/drawing/2014/main" id="{00000000-0008-0000-0B00-00003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101</xdr:row>
          <xdr:rowOff>7620</xdr:rowOff>
        </xdr:from>
        <xdr:to>
          <xdr:col>3</xdr:col>
          <xdr:colOff>601980</xdr:colOff>
          <xdr:row>102</xdr:row>
          <xdr:rowOff>38100</xdr:rowOff>
        </xdr:to>
        <xdr:sp macro="" textlink=""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  <a:ext uri="{FF2B5EF4-FFF2-40B4-BE49-F238E27FC236}">
                  <a16:creationId xmlns:a16="http://schemas.microsoft.com/office/drawing/2014/main" id="{00000000-0008-0000-0B00-00004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102</xdr:row>
          <xdr:rowOff>7620</xdr:rowOff>
        </xdr:from>
        <xdr:to>
          <xdr:col>3</xdr:col>
          <xdr:colOff>601980</xdr:colOff>
          <xdr:row>103</xdr:row>
          <xdr:rowOff>38100</xdr:rowOff>
        </xdr:to>
        <xdr:sp macro="" textlink=""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  <a:ext uri="{FF2B5EF4-FFF2-40B4-BE49-F238E27FC236}">
                  <a16:creationId xmlns:a16="http://schemas.microsoft.com/office/drawing/2014/main" id="{00000000-0008-0000-0B00-00004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103</xdr:row>
          <xdr:rowOff>7620</xdr:rowOff>
        </xdr:from>
        <xdr:to>
          <xdr:col>3</xdr:col>
          <xdr:colOff>601980</xdr:colOff>
          <xdr:row>104</xdr:row>
          <xdr:rowOff>38100</xdr:rowOff>
        </xdr:to>
        <xdr:sp macro="" textlink=""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  <a:ext uri="{FF2B5EF4-FFF2-40B4-BE49-F238E27FC236}">
                  <a16:creationId xmlns:a16="http://schemas.microsoft.com/office/drawing/2014/main" id="{00000000-0008-0000-0B00-00004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104</xdr:row>
          <xdr:rowOff>7620</xdr:rowOff>
        </xdr:from>
        <xdr:to>
          <xdr:col>3</xdr:col>
          <xdr:colOff>601980</xdr:colOff>
          <xdr:row>105</xdr:row>
          <xdr:rowOff>38100</xdr:rowOff>
        </xdr:to>
        <xdr:sp macro="" textlink=""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  <a:ext uri="{FF2B5EF4-FFF2-40B4-BE49-F238E27FC236}">
                  <a16:creationId xmlns:a16="http://schemas.microsoft.com/office/drawing/2014/main" id="{00000000-0008-0000-0B00-00004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104</xdr:row>
          <xdr:rowOff>7620</xdr:rowOff>
        </xdr:from>
        <xdr:to>
          <xdr:col>3</xdr:col>
          <xdr:colOff>601980</xdr:colOff>
          <xdr:row>105</xdr:row>
          <xdr:rowOff>38100</xdr:rowOff>
        </xdr:to>
        <xdr:sp macro="" textlink=""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  <a:ext uri="{FF2B5EF4-FFF2-40B4-BE49-F238E27FC236}">
                  <a16:creationId xmlns:a16="http://schemas.microsoft.com/office/drawing/2014/main" id="{00000000-0008-0000-0B00-00004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105</xdr:row>
          <xdr:rowOff>7620</xdr:rowOff>
        </xdr:from>
        <xdr:to>
          <xdr:col>3</xdr:col>
          <xdr:colOff>601980</xdr:colOff>
          <xdr:row>106</xdr:row>
          <xdr:rowOff>38100</xdr:rowOff>
        </xdr:to>
        <xdr:sp macro="" textlink=""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  <a:ext uri="{FF2B5EF4-FFF2-40B4-BE49-F238E27FC236}">
                  <a16:creationId xmlns:a16="http://schemas.microsoft.com/office/drawing/2014/main" id="{00000000-0008-0000-0B00-00004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105</xdr:row>
          <xdr:rowOff>7620</xdr:rowOff>
        </xdr:from>
        <xdr:to>
          <xdr:col>3</xdr:col>
          <xdr:colOff>601980</xdr:colOff>
          <xdr:row>106</xdr:row>
          <xdr:rowOff>38100</xdr:rowOff>
        </xdr:to>
        <xdr:sp macro="" textlink=""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  <a:ext uri="{FF2B5EF4-FFF2-40B4-BE49-F238E27FC236}">
                  <a16:creationId xmlns:a16="http://schemas.microsoft.com/office/drawing/2014/main" id="{00000000-0008-0000-0B00-00004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106</xdr:row>
          <xdr:rowOff>7620</xdr:rowOff>
        </xdr:from>
        <xdr:to>
          <xdr:col>3</xdr:col>
          <xdr:colOff>601980</xdr:colOff>
          <xdr:row>107</xdr:row>
          <xdr:rowOff>38100</xdr:rowOff>
        </xdr:to>
        <xdr:sp macro="" textlink=""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  <a:ext uri="{FF2B5EF4-FFF2-40B4-BE49-F238E27FC236}">
                  <a16:creationId xmlns:a16="http://schemas.microsoft.com/office/drawing/2014/main" id="{00000000-0008-0000-0B00-00004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106</xdr:row>
          <xdr:rowOff>7620</xdr:rowOff>
        </xdr:from>
        <xdr:to>
          <xdr:col>3</xdr:col>
          <xdr:colOff>601980</xdr:colOff>
          <xdr:row>107</xdr:row>
          <xdr:rowOff>38100</xdr:rowOff>
        </xdr:to>
        <xdr:sp macro="" textlink=""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  <a:ext uri="{FF2B5EF4-FFF2-40B4-BE49-F238E27FC236}">
                  <a16:creationId xmlns:a16="http://schemas.microsoft.com/office/drawing/2014/main" id="{00000000-0008-0000-0B00-00004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106</xdr:row>
          <xdr:rowOff>7620</xdr:rowOff>
        </xdr:from>
        <xdr:to>
          <xdr:col>3</xdr:col>
          <xdr:colOff>601980</xdr:colOff>
          <xdr:row>107</xdr:row>
          <xdr:rowOff>38100</xdr:rowOff>
        </xdr:to>
        <xdr:sp macro="" textlink=""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  <a:ext uri="{FF2B5EF4-FFF2-40B4-BE49-F238E27FC236}">
                  <a16:creationId xmlns:a16="http://schemas.microsoft.com/office/drawing/2014/main" id="{00000000-0008-0000-0B00-00004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107</xdr:row>
          <xdr:rowOff>7620</xdr:rowOff>
        </xdr:from>
        <xdr:to>
          <xdr:col>3</xdr:col>
          <xdr:colOff>601980</xdr:colOff>
          <xdr:row>108</xdr:row>
          <xdr:rowOff>30480</xdr:rowOff>
        </xdr:to>
        <xdr:sp macro="" textlink=""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  <a:ext uri="{FF2B5EF4-FFF2-40B4-BE49-F238E27FC236}">
                  <a16:creationId xmlns:a16="http://schemas.microsoft.com/office/drawing/2014/main" id="{00000000-0008-0000-0B00-00004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107</xdr:row>
          <xdr:rowOff>7620</xdr:rowOff>
        </xdr:from>
        <xdr:to>
          <xdr:col>3</xdr:col>
          <xdr:colOff>601980</xdr:colOff>
          <xdr:row>108</xdr:row>
          <xdr:rowOff>30480</xdr:rowOff>
        </xdr:to>
        <xdr:sp macro="" textlink=""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  <a:ext uri="{FF2B5EF4-FFF2-40B4-BE49-F238E27FC236}">
                  <a16:creationId xmlns:a16="http://schemas.microsoft.com/office/drawing/2014/main" id="{00000000-0008-0000-0B00-00004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122</xdr:row>
          <xdr:rowOff>7620</xdr:rowOff>
        </xdr:from>
        <xdr:to>
          <xdr:col>3</xdr:col>
          <xdr:colOff>601980</xdr:colOff>
          <xdr:row>123</xdr:row>
          <xdr:rowOff>38100</xdr:rowOff>
        </xdr:to>
        <xdr:sp macro="" textlink=""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  <a:ext uri="{FF2B5EF4-FFF2-40B4-BE49-F238E27FC236}">
                  <a16:creationId xmlns:a16="http://schemas.microsoft.com/office/drawing/2014/main" id="{00000000-0008-0000-0B00-00004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123</xdr:row>
          <xdr:rowOff>7620</xdr:rowOff>
        </xdr:from>
        <xdr:to>
          <xdr:col>3</xdr:col>
          <xdr:colOff>601980</xdr:colOff>
          <xdr:row>124</xdr:row>
          <xdr:rowOff>38100</xdr:rowOff>
        </xdr:to>
        <xdr:sp macro="" textlink=""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  <a:ext uri="{FF2B5EF4-FFF2-40B4-BE49-F238E27FC236}">
                  <a16:creationId xmlns:a16="http://schemas.microsoft.com/office/drawing/2014/main" id="{00000000-0008-0000-0B00-00004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124</xdr:row>
          <xdr:rowOff>7620</xdr:rowOff>
        </xdr:from>
        <xdr:to>
          <xdr:col>3</xdr:col>
          <xdr:colOff>601980</xdr:colOff>
          <xdr:row>125</xdr:row>
          <xdr:rowOff>38100</xdr:rowOff>
        </xdr:to>
        <xdr:sp macro="" textlink=""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  <a:ext uri="{FF2B5EF4-FFF2-40B4-BE49-F238E27FC236}">
                  <a16:creationId xmlns:a16="http://schemas.microsoft.com/office/drawing/2014/main" id="{00000000-0008-0000-0B00-00004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125</xdr:row>
          <xdr:rowOff>7620</xdr:rowOff>
        </xdr:from>
        <xdr:to>
          <xdr:col>3</xdr:col>
          <xdr:colOff>601980</xdr:colOff>
          <xdr:row>126</xdr:row>
          <xdr:rowOff>38100</xdr:rowOff>
        </xdr:to>
        <xdr:sp macro="" textlink=""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  <a:ext uri="{FF2B5EF4-FFF2-40B4-BE49-F238E27FC236}">
                  <a16:creationId xmlns:a16="http://schemas.microsoft.com/office/drawing/2014/main" id="{00000000-0008-0000-0B00-00004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126</xdr:row>
          <xdr:rowOff>7620</xdr:rowOff>
        </xdr:from>
        <xdr:to>
          <xdr:col>3</xdr:col>
          <xdr:colOff>601980</xdr:colOff>
          <xdr:row>127</xdr:row>
          <xdr:rowOff>38100</xdr:rowOff>
        </xdr:to>
        <xdr:sp macro="" textlink=""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  <a:ext uri="{FF2B5EF4-FFF2-40B4-BE49-F238E27FC236}">
                  <a16:creationId xmlns:a16="http://schemas.microsoft.com/office/drawing/2014/main" id="{00000000-0008-0000-0B00-00005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127</xdr:row>
          <xdr:rowOff>7620</xdr:rowOff>
        </xdr:from>
        <xdr:to>
          <xdr:col>3</xdr:col>
          <xdr:colOff>601980</xdr:colOff>
          <xdr:row>128</xdr:row>
          <xdr:rowOff>38100</xdr:rowOff>
        </xdr:to>
        <xdr:sp macro="" textlink=""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  <a:ext uri="{FF2B5EF4-FFF2-40B4-BE49-F238E27FC236}">
                  <a16:creationId xmlns:a16="http://schemas.microsoft.com/office/drawing/2014/main" id="{00000000-0008-0000-0B00-00005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128</xdr:row>
          <xdr:rowOff>7620</xdr:rowOff>
        </xdr:from>
        <xdr:to>
          <xdr:col>3</xdr:col>
          <xdr:colOff>601980</xdr:colOff>
          <xdr:row>129</xdr:row>
          <xdr:rowOff>38100</xdr:rowOff>
        </xdr:to>
        <xdr:sp macro="" textlink=""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  <a:ext uri="{FF2B5EF4-FFF2-40B4-BE49-F238E27FC236}">
                  <a16:creationId xmlns:a16="http://schemas.microsoft.com/office/drawing/2014/main" id="{00000000-0008-0000-0B00-00005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128</xdr:row>
          <xdr:rowOff>7620</xdr:rowOff>
        </xdr:from>
        <xdr:to>
          <xdr:col>3</xdr:col>
          <xdr:colOff>601980</xdr:colOff>
          <xdr:row>129</xdr:row>
          <xdr:rowOff>38100</xdr:rowOff>
        </xdr:to>
        <xdr:sp macro="" textlink=""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  <a:ext uri="{FF2B5EF4-FFF2-40B4-BE49-F238E27FC236}">
                  <a16:creationId xmlns:a16="http://schemas.microsoft.com/office/drawing/2014/main" id="{00000000-0008-0000-0B00-00005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129</xdr:row>
          <xdr:rowOff>7620</xdr:rowOff>
        </xdr:from>
        <xdr:to>
          <xdr:col>3</xdr:col>
          <xdr:colOff>601980</xdr:colOff>
          <xdr:row>130</xdr:row>
          <xdr:rowOff>38100</xdr:rowOff>
        </xdr:to>
        <xdr:sp macro="" textlink=""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  <a:ext uri="{FF2B5EF4-FFF2-40B4-BE49-F238E27FC236}">
                  <a16:creationId xmlns:a16="http://schemas.microsoft.com/office/drawing/2014/main" id="{00000000-0008-0000-0B00-00005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129</xdr:row>
          <xdr:rowOff>7620</xdr:rowOff>
        </xdr:from>
        <xdr:to>
          <xdr:col>3</xdr:col>
          <xdr:colOff>601980</xdr:colOff>
          <xdr:row>130</xdr:row>
          <xdr:rowOff>38100</xdr:rowOff>
        </xdr:to>
        <xdr:sp macro="" textlink=""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  <a:ext uri="{FF2B5EF4-FFF2-40B4-BE49-F238E27FC236}">
                  <a16:creationId xmlns:a16="http://schemas.microsoft.com/office/drawing/2014/main" id="{00000000-0008-0000-0B00-00005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130</xdr:row>
          <xdr:rowOff>7620</xdr:rowOff>
        </xdr:from>
        <xdr:to>
          <xdr:col>3</xdr:col>
          <xdr:colOff>601980</xdr:colOff>
          <xdr:row>131</xdr:row>
          <xdr:rowOff>38100</xdr:rowOff>
        </xdr:to>
        <xdr:sp macro="" textlink=""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  <a:ext uri="{FF2B5EF4-FFF2-40B4-BE49-F238E27FC236}">
                  <a16:creationId xmlns:a16="http://schemas.microsoft.com/office/drawing/2014/main" id="{00000000-0008-0000-0B00-00005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130</xdr:row>
          <xdr:rowOff>7620</xdr:rowOff>
        </xdr:from>
        <xdr:to>
          <xdr:col>3</xdr:col>
          <xdr:colOff>601980</xdr:colOff>
          <xdr:row>131</xdr:row>
          <xdr:rowOff>38100</xdr:rowOff>
        </xdr:to>
        <xdr:sp macro="" textlink=""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  <a:ext uri="{FF2B5EF4-FFF2-40B4-BE49-F238E27FC236}">
                  <a16:creationId xmlns:a16="http://schemas.microsoft.com/office/drawing/2014/main" id="{00000000-0008-0000-0B00-00005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130</xdr:row>
          <xdr:rowOff>7620</xdr:rowOff>
        </xdr:from>
        <xdr:to>
          <xdr:col>3</xdr:col>
          <xdr:colOff>601980</xdr:colOff>
          <xdr:row>131</xdr:row>
          <xdr:rowOff>38100</xdr:rowOff>
        </xdr:to>
        <xdr:sp macro="" textlink=""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  <a:ext uri="{FF2B5EF4-FFF2-40B4-BE49-F238E27FC236}">
                  <a16:creationId xmlns:a16="http://schemas.microsoft.com/office/drawing/2014/main" id="{00000000-0008-0000-0B00-00005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131</xdr:row>
          <xdr:rowOff>7620</xdr:rowOff>
        </xdr:from>
        <xdr:to>
          <xdr:col>3</xdr:col>
          <xdr:colOff>601980</xdr:colOff>
          <xdr:row>132</xdr:row>
          <xdr:rowOff>30480</xdr:rowOff>
        </xdr:to>
        <xdr:sp macro="" textlink=""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  <a:ext uri="{FF2B5EF4-FFF2-40B4-BE49-F238E27FC236}">
                  <a16:creationId xmlns:a16="http://schemas.microsoft.com/office/drawing/2014/main" id="{00000000-0008-0000-0B00-00005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131</xdr:row>
          <xdr:rowOff>7620</xdr:rowOff>
        </xdr:from>
        <xdr:to>
          <xdr:col>3</xdr:col>
          <xdr:colOff>601980</xdr:colOff>
          <xdr:row>132</xdr:row>
          <xdr:rowOff>30480</xdr:rowOff>
        </xdr:to>
        <xdr:sp macro="" textlink=""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  <a:ext uri="{FF2B5EF4-FFF2-40B4-BE49-F238E27FC236}">
                  <a16:creationId xmlns:a16="http://schemas.microsoft.com/office/drawing/2014/main" id="{00000000-0008-0000-0B00-00005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35</xdr:row>
          <xdr:rowOff>7620</xdr:rowOff>
        </xdr:from>
        <xdr:to>
          <xdr:col>3</xdr:col>
          <xdr:colOff>601980</xdr:colOff>
          <xdr:row>36</xdr:row>
          <xdr:rowOff>30480</xdr:rowOff>
        </xdr:to>
        <xdr:sp macro="" textlink=""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  <a:ext uri="{FF2B5EF4-FFF2-40B4-BE49-F238E27FC236}">
                  <a16:creationId xmlns:a16="http://schemas.microsoft.com/office/drawing/2014/main" id="{00000000-0008-0000-0B00-00005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35</xdr:row>
          <xdr:rowOff>7620</xdr:rowOff>
        </xdr:from>
        <xdr:to>
          <xdr:col>3</xdr:col>
          <xdr:colOff>601980</xdr:colOff>
          <xdr:row>36</xdr:row>
          <xdr:rowOff>30480</xdr:rowOff>
        </xdr:to>
        <xdr:sp macro="" textlink=""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  <a:ext uri="{FF2B5EF4-FFF2-40B4-BE49-F238E27FC236}">
                  <a16:creationId xmlns:a16="http://schemas.microsoft.com/office/drawing/2014/main" id="{00000000-0008-0000-0B00-00005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59</xdr:row>
          <xdr:rowOff>7620</xdr:rowOff>
        </xdr:from>
        <xdr:to>
          <xdr:col>3</xdr:col>
          <xdr:colOff>601980</xdr:colOff>
          <xdr:row>60</xdr:row>
          <xdr:rowOff>30480</xdr:rowOff>
        </xdr:to>
        <xdr:sp macro="" textlink=""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  <a:ext uri="{FF2B5EF4-FFF2-40B4-BE49-F238E27FC236}">
                  <a16:creationId xmlns:a16="http://schemas.microsoft.com/office/drawing/2014/main" id="{00000000-0008-0000-0B00-00005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59</xdr:row>
          <xdr:rowOff>7620</xdr:rowOff>
        </xdr:from>
        <xdr:to>
          <xdr:col>3</xdr:col>
          <xdr:colOff>601980</xdr:colOff>
          <xdr:row>60</xdr:row>
          <xdr:rowOff>30480</xdr:rowOff>
        </xdr:to>
        <xdr:sp macro="" textlink=""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  <a:ext uri="{FF2B5EF4-FFF2-40B4-BE49-F238E27FC236}">
                  <a16:creationId xmlns:a16="http://schemas.microsoft.com/office/drawing/2014/main" id="{00000000-0008-0000-0B00-00005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83</xdr:row>
          <xdr:rowOff>7620</xdr:rowOff>
        </xdr:from>
        <xdr:to>
          <xdr:col>3</xdr:col>
          <xdr:colOff>601980</xdr:colOff>
          <xdr:row>84</xdr:row>
          <xdr:rowOff>30480</xdr:rowOff>
        </xdr:to>
        <xdr:sp macro="" textlink=""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  <a:ext uri="{FF2B5EF4-FFF2-40B4-BE49-F238E27FC236}">
                  <a16:creationId xmlns:a16="http://schemas.microsoft.com/office/drawing/2014/main" id="{00000000-0008-0000-0B00-00005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83</xdr:row>
          <xdr:rowOff>7620</xdr:rowOff>
        </xdr:from>
        <xdr:to>
          <xdr:col>3</xdr:col>
          <xdr:colOff>601980</xdr:colOff>
          <xdr:row>84</xdr:row>
          <xdr:rowOff>30480</xdr:rowOff>
        </xdr:to>
        <xdr:sp macro="" textlink=""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  <a:ext uri="{FF2B5EF4-FFF2-40B4-BE49-F238E27FC236}">
                  <a16:creationId xmlns:a16="http://schemas.microsoft.com/office/drawing/2014/main" id="{00000000-0008-0000-0B00-00006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107</xdr:row>
          <xdr:rowOff>7620</xdr:rowOff>
        </xdr:from>
        <xdr:to>
          <xdr:col>3</xdr:col>
          <xdr:colOff>601980</xdr:colOff>
          <xdr:row>108</xdr:row>
          <xdr:rowOff>30480</xdr:rowOff>
        </xdr:to>
        <xdr:sp macro="" textlink=""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  <a:ext uri="{FF2B5EF4-FFF2-40B4-BE49-F238E27FC236}">
                  <a16:creationId xmlns:a16="http://schemas.microsoft.com/office/drawing/2014/main" id="{00000000-0008-0000-0B00-00006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107</xdr:row>
          <xdr:rowOff>7620</xdr:rowOff>
        </xdr:from>
        <xdr:to>
          <xdr:col>3</xdr:col>
          <xdr:colOff>601980</xdr:colOff>
          <xdr:row>108</xdr:row>
          <xdr:rowOff>30480</xdr:rowOff>
        </xdr:to>
        <xdr:sp macro="" textlink=""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  <a:ext uri="{FF2B5EF4-FFF2-40B4-BE49-F238E27FC236}">
                  <a16:creationId xmlns:a16="http://schemas.microsoft.com/office/drawing/2014/main" id="{00000000-0008-0000-0B00-00006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131</xdr:row>
          <xdr:rowOff>7620</xdr:rowOff>
        </xdr:from>
        <xdr:to>
          <xdr:col>3</xdr:col>
          <xdr:colOff>601980</xdr:colOff>
          <xdr:row>132</xdr:row>
          <xdr:rowOff>30480</xdr:rowOff>
        </xdr:to>
        <xdr:sp macro="" textlink=""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  <a:ext uri="{FF2B5EF4-FFF2-40B4-BE49-F238E27FC236}">
                  <a16:creationId xmlns:a16="http://schemas.microsoft.com/office/drawing/2014/main" id="{00000000-0008-0000-0B00-00006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131</xdr:row>
          <xdr:rowOff>7620</xdr:rowOff>
        </xdr:from>
        <xdr:to>
          <xdr:col>3</xdr:col>
          <xdr:colOff>601980</xdr:colOff>
          <xdr:row>132</xdr:row>
          <xdr:rowOff>30480</xdr:rowOff>
        </xdr:to>
        <xdr:sp macro="" textlink=""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  <a:ext uri="{FF2B5EF4-FFF2-40B4-BE49-F238E27FC236}">
                  <a16:creationId xmlns:a16="http://schemas.microsoft.com/office/drawing/2014/main" id="{00000000-0008-0000-0B00-00006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lgdata.se/algdata/SiteCollectionDocuments/&#196;lgf&#246;rvaltningsplaner/&#196;FPmall_2014_Ver%201_8_uppdaterad_2014-06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örutsättningar"/>
      <sheetName val="NFS 2011-7"/>
      <sheetName val="Plan"/>
      <sheetName val="2.1.1 Avskjutning"/>
      <sheetName val="2.1.2 Älgobs"/>
      <sheetName val="2.1.3 Spillningsinventering"/>
      <sheetName val="2.1.4 Kalvvikter"/>
      <sheetName val="2.2.1 Äbin"/>
      <sheetName val="Utdata"/>
      <sheetName val="Faktorer"/>
      <sheetName val="Sammanst spillinv ÄFO"/>
    </sheetNames>
    <sheetDataSet>
      <sheetData sheetId="0"/>
      <sheetData sheetId="1"/>
      <sheetData sheetId="2">
        <row r="3">
          <cell r="C3">
            <v>2014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Välj i lista</v>
          </cell>
          <cell r="D3" t="str">
            <v>Välj i lista</v>
          </cell>
        </row>
        <row r="5">
          <cell r="C5" t="str">
            <v>Tallar %</v>
          </cell>
          <cell r="D5" t="str">
            <v>RASE, andel ytor med god konkurrensstatus, %</v>
          </cell>
        </row>
        <row r="6">
          <cell r="C6" t="str">
            <v>Granar %</v>
          </cell>
          <cell r="D6" t="str">
            <v>Försommarbete, färska skador i %</v>
          </cell>
        </row>
        <row r="7">
          <cell r="C7" t="str">
            <v>Produktionsstammar %</v>
          </cell>
          <cell r="D7" t="str">
            <v>Ståndortsanpassning, andel ytor med rätt trsl, %</v>
          </cell>
        </row>
        <row r="8">
          <cell r="D8" t="str">
            <v>Föryngringsframgång, %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90.xml"/><Relationship Id="rId21" Type="http://schemas.openxmlformats.org/officeDocument/2006/relationships/ctrlProp" Target="../ctrlProps/ctrlProp85.xml"/><Relationship Id="rId34" Type="http://schemas.openxmlformats.org/officeDocument/2006/relationships/ctrlProp" Target="../ctrlProps/ctrlProp98.xml"/><Relationship Id="rId42" Type="http://schemas.openxmlformats.org/officeDocument/2006/relationships/ctrlProp" Target="../ctrlProps/ctrlProp106.xml"/><Relationship Id="rId47" Type="http://schemas.openxmlformats.org/officeDocument/2006/relationships/ctrlProp" Target="../ctrlProps/ctrlProp111.xml"/><Relationship Id="rId50" Type="http://schemas.openxmlformats.org/officeDocument/2006/relationships/ctrlProp" Target="../ctrlProps/ctrlProp114.xml"/><Relationship Id="rId55" Type="http://schemas.openxmlformats.org/officeDocument/2006/relationships/ctrlProp" Target="../ctrlProps/ctrlProp119.xml"/><Relationship Id="rId63" Type="http://schemas.openxmlformats.org/officeDocument/2006/relationships/ctrlProp" Target="../ctrlProps/ctrlProp127.xml"/><Relationship Id="rId68" Type="http://schemas.openxmlformats.org/officeDocument/2006/relationships/ctrlProp" Target="../ctrlProps/ctrlProp132.xml"/><Relationship Id="rId76" Type="http://schemas.openxmlformats.org/officeDocument/2006/relationships/ctrlProp" Target="../ctrlProps/ctrlProp140.xml"/><Relationship Id="rId84" Type="http://schemas.openxmlformats.org/officeDocument/2006/relationships/ctrlProp" Target="../ctrlProps/ctrlProp148.xml"/><Relationship Id="rId89" Type="http://schemas.openxmlformats.org/officeDocument/2006/relationships/ctrlProp" Target="../ctrlProps/ctrlProp153.xml"/><Relationship Id="rId97" Type="http://schemas.openxmlformats.org/officeDocument/2006/relationships/ctrlProp" Target="../ctrlProps/ctrlProp161.xml"/><Relationship Id="rId7" Type="http://schemas.openxmlformats.org/officeDocument/2006/relationships/ctrlProp" Target="../ctrlProps/ctrlProp71.xml"/><Relationship Id="rId71" Type="http://schemas.openxmlformats.org/officeDocument/2006/relationships/ctrlProp" Target="../ctrlProps/ctrlProp135.xml"/><Relationship Id="rId92" Type="http://schemas.openxmlformats.org/officeDocument/2006/relationships/ctrlProp" Target="../ctrlProps/ctrlProp15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80.xml"/><Relationship Id="rId29" Type="http://schemas.openxmlformats.org/officeDocument/2006/relationships/ctrlProp" Target="../ctrlProps/ctrlProp93.xml"/><Relationship Id="rId11" Type="http://schemas.openxmlformats.org/officeDocument/2006/relationships/ctrlProp" Target="../ctrlProps/ctrlProp75.xml"/><Relationship Id="rId24" Type="http://schemas.openxmlformats.org/officeDocument/2006/relationships/ctrlProp" Target="../ctrlProps/ctrlProp88.xml"/><Relationship Id="rId32" Type="http://schemas.openxmlformats.org/officeDocument/2006/relationships/ctrlProp" Target="../ctrlProps/ctrlProp96.xml"/><Relationship Id="rId37" Type="http://schemas.openxmlformats.org/officeDocument/2006/relationships/ctrlProp" Target="../ctrlProps/ctrlProp101.xml"/><Relationship Id="rId40" Type="http://schemas.openxmlformats.org/officeDocument/2006/relationships/ctrlProp" Target="../ctrlProps/ctrlProp104.xml"/><Relationship Id="rId45" Type="http://schemas.openxmlformats.org/officeDocument/2006/relationships/ctrlProp" Target="../ctrlProps/ctrlProp109.xml"/><Relationship Id="rId53" Type="http://schemas.openxmlformats.org/officeDocument/2006/relationships/ctrlProp" Target="../ctrlProps/ctrlProp117.xml"/><Relationship Id="rId58" Type="http://schemas.openxmlformats.org/officeDocument/2006/relationships/ctrlProp" Target="../ctrlProps/ctrlProp122.xml"/><Relationship Id="rId66" Type="http://schemas.openxmlformats.org/officeDocument/2006/relationships/ctrlProp" Target="../ctrlProps/ctrlProp130.xml"/><Relationship Id="rId74" Type="http://schemas.openxmlformats.org/officeDocument/2006/relationships/ctrlProp" Target="../ctrlProps/ctrlProp138.xml"/><Relationship Id="rId79" Type="http://schemas.openxmlformats.org/officeDocument/2006/relationships/ctrlProp" Target="../ctrlProps/ctrlProp143.xml"/><Relationship Id="rId87" Type="http://schemas.openxmlformats.org/officeDocument/2006/relationships/ctrlProp" Target="../ctrlProps/ctrlProp151.xml"/><Relationship Id="rId102" Type="http://schemas.openxmlformats.org/officeDocument/2006/relationships/ctrlProp" Target="../ctrlProps/ctrlProp166.xml"/><Relationship Id="rId5" Type="http://schemas.openxmlformats.org/officeDocument/2006/relationships/ctrlProp" Target="../ctrlProps/ctrlProp69.xml"/><Relationship Id="rId61" Type="http://schemas.openxmlformats.org/officeDocument/2006/relationships/ctrlProp" Target="../ctrlProps/ctrlProp125.xml"/><Relationship Id="rId82" Type="http://schemas.openxmlformats.org/officeDocument/2006/relationships/ctrlProp" Target="../ctrlProps/ctrlProp146.xml"/><Relationship Id="rId90" Type="http://schemas.openxmlformats.org/officeDocument/2006/relationships/ctrlProp" Target="../ctrlProps/ctrlProp154.xml"/><Relationship Id="rId95" Type="http://schemas.openxmlformats.org/officeDocument/2006/relationships/ctrlProp" Target="../ctrlProps/ctrlProp159.xml"/><Relationship Id="rId19" Type="http://schemas.openxmlformats.org/officeDocument/2006/relationships/ctrlProp" Target="../ctrlProps/ctrlProp83.xml"/><Relationship Id="rId14" Type="http://schemas.openxmlformats.org/officeDocument/2006/relationships/ctrlProp" Target="../ctrlProps/ctrlProp78.xml"/><Relationship Id="rId22" Type="http://schemas.openxmlformats.org/officeDocument/2006/relationships/ctrlProp" Target="../ctrlProps/ctrlProp86.xml"/><Relationship Id="rId27" Type="http://schemas.openxmlformats.org/officeDocument/2006/relationships/ctrlProp" Target="../ctrlProps/ctrlProp91.xml"/><Relationship Id="rId30" Type="http://schemas.openxmlformats.org/officeDocument/2006/relationships/ctrlProp" Target="../ctrlProps/ctrlProp94.xml"/><Relationship Id="rId35" Type="http://schemas.openxmlformats.org/officeDocument/2006/relationships/ctrlProp" Target="../ctrlProps/ctrlProp99.xml"/><Relationship Id="rId43" Type="http://schemas.openxmlformats.org/officeDocument/2006/relationships/ctrlProp" Target="../ctrlProps/ctrlProp107.xml"/><Relationship Id="rId48" Type="http://schemas.openxmlformats.org/officeDocument/2006/relationships/ctrlProp" Target="../ctrlProps/ctrlProp112.xml"/><Relationship Id="rId56" Type="http://schemas.openxmlformats.org/officeDocument/2006/relationships/ctrlProp" Target="../ctrlProps/ctrlProp120.xml"/><Relationship Id="rId64" Type="http://schemas.openxmlformats.org/officeDocument/2006/relationships/ctrlProp" Target="../ctrlProps/ctrlProp128.xml"/><Relationship Id="rId69" Type="http://schemas.openxmlformats.org/officeDocument/2006/relationships/ctrlProp" Target="../ctrlProps/ctrlProp133.xml"/><Relationship Id="rId77" Type="http://schemas.openxmlformats.org/officeDocument/2006/relationships/ctrlProp" Target="../ctrlProps/ctrlProp141.xml"/><Relationship Id="rId100" Type="http://schemas.openxmlformats.org/officeDocument/2006/relationships/ctrlProp" Target="../ctrlProps/ctrlProp164.xml"/><Relationship Id="rId8" Type="http://schemas.openxmlformats.org/officeDocument/2006/relationships/ctrlProp" Target="../ctrlProps/ctrlProp72.xml"/><Relationship Id="rId51" Type="http://schemas.openxmlformats.org/officeDocument/2006/relationships/ctrlProp" Target="../ctrlProps/ctrlProp115.xml"/><Relationship Id="rId72" Type="http://schemas.openxmlformats.org/officeDocument/2006/relationships/ctrlProp" Target="../ctrlProps/ctrlProp136.xml"/><Relationship Id="rId80" Type="http://schemas.openxmlformats.org/officeDocument/2006/relationships/ctrlProp" Target="../ctrlProps/ctrlProp144.xml"/><Relationship Id="rId85" Type="http://schemas.openxmlformats.org/officeDocument/2006/relationships/ctrlProp" Target="../ctrlProps/ctrlProp149.xml"/><Relationship Id="rId93" Type="http://schemas.openxmlformats.org/officeDocument/2006/relationships/ctrlProp" Target="../ctrlProps/ctrlProp157.xml"/><Relationship Id="rId98" Type="http://schemas.openxmlformats.org/officeDocument/2006/relationships/ctrlProp" Target="../ctrlProps/ctrlProp162.xml"/><Relationship Id="rId3" Type="http://schemas.openxmlformats.org/officeDocument/2006/relationships/ctrlProp" Target="../ctrlProps/ctrlProp67.xml"/><Relationship Id="rId12" Type="http://schemas.openxmlformats.org/officeDocument/2006/relationships/ctrlProp" Target="../ctrlProps/ctrlProp76.xml"/><Relationship Id="rId17" Type="http://schemas.openxmlformats.org/officeDocument/2006/relationships/ctrlProp" Target="../ctrlProps/ctrlProp81.xml"/><Relationship Id="rId25" Type="http://schemas.openxmlformats.org/officeDocument/2006/relationships/ctrlProp" Target="../ctrlProps/ctrlProp89.xml"/><Relationship Id="rId33" Type="http://schemas.openxmlformats.org/officeDocument/2006/relationships/ctrlProp" Target="../ctrlProps/ctrlProp97.xml"/><Relationship Id="rId38" Type="http://schemas.openxmlformats.org/officeDocument/2006/relationships/ctrlProp" Target="../ctrlProps/ctrlProp102.xml"/><Relationship Id="rId46" Type="http://schemas.openxmlformats.org/officeDocument/2006/relationships/ctrlProp" Target="../ctrlProps/ctrlProp110.xml"/><Relationship Id="rId59" Type="http://schemas.openxmlformats.org/officeDocument/2006/relationships/ctrlProp" Target="../ctrlProps/ctrlProp123.xml"/><Relationship Id="rId67" Type="http://schemas.openxmlformats.org/officeDocument/2006/relationships/ctrlProp" Target="../ctrlProps/ctrlProp131.xml"/><Relationship Id="rId20" Type="http://schemas.openxmlformats.org/officeDocument/2006/relationships/ctrlProp" Target="../ctrlProps/ctrlProp84.xml"/><Relationship Id="rId41" Type="http://schemas.openxmlformats.org/officeDocument/2006/relationships/ctrlProp" Target="../ctrlProps/ctrlProp105.xml"/><Relationship Id="rId54" Type="http://schemas.openxmlformats.org/officeDocument/2006/relationships/ctrlProp" Target="../ctrlProps/ctrlProp118.xml"/><Relationship Id="rId62" Type="http://schemas.openxmlformats.org/officeDocument/2006/relationships/ctrlProp" Target="../ctrlProps/ctrlProp126.xml"/><Relationship Id="rId70" Type="http://schemas.openxmlformats.org/officeDocument/2006/relationships/ctrlProp" Target="../ctrlProps/ctrlProp134.xml"/><Relationship Id="rId75" Type="http://schemas.openxmlformats.org/officeDocument/2006/relationships/ctrlProp" Target="../ctrlProps/ctrlProp139.xml"/><Relationship Id="rId83" Type="http://schemas.openxmlformats.org/officeDocument/2006/relationships/ctrlProp" Target="../ctrlProps/ctrlProp147.xml"/><Relationship Id="rId88" Type="http://schemas.openxmlformats.org/officeDocument/2006/relationships/ctrlProp" Target="../ctrlProps/ctrlProp152.xml"/><Relationship Id="rId91" Type="http://schemas.openxmlformats.org/officeDocument/2006/relationships/ctrlProp" Target="../ctrlProps/ctrlProp155.xml"/><Relationship Id="rId96" Type="http://schemas.openxmlformats.org/officeDocument/2006/relationships/ctrlProp" Target="../ctrlProps/ctrlProp160.xml"/><Relationship Id="rId1" Type="http://schemas.openxmlformats.org/officeDocument/2006/relationships/drawing" Target="../drawings/drawing9.xml"/><Relationship Id="rId6" Type="http://schemas.openxmlformats.org/officeDocument/2006/relationships/ctrlProp" Target="../ctrlProps/ctrlProp70.xml"/><Relationship Id="rId15" Type="http://schemas.openxmlformats.org/officeDocument/2006/relationships/ctrlProp" Target="../ctrlProps/ctrlProp79.xml"/><Relationship Id="rId23" Type="http://schemas.openxmlformats.org/officeDocument/2006/relationships/ctrlProp" Target="../ctrlProps/ctrlProp87.xml"/><Relationship Id="rId28" Type="http://schemas.openxmlformats.org/officeDocument/2006/relationships/ctrlProp" Target="../ctrlProps/ctrlProp92.xml"/><Relationship Id="rId36" Type="http://schemas.openxmlformats.org/officeDocument/2006/relationships/ctrlProp" Target="../ctrlProps/ctrlProp100.xml"/><Relationship Id="rId49" Type="http://schemas.openxmlformats.org/officeDocument/2006/relationships/ctrlProp" Target="../ctrlProps/ctrlProp113.xml"/><Relationship Id="rId57" Type="http://schemas.openxmlformats.org/officeDocument/2006/relationships/ctrlProp" Target="../ctrlProps/ctrlProp121.xml"/><Relationship Id="rId10" Type="http://schemas.openxmlformats.org/officeDocument/2006/relationships/ctrlProp" Target="../ctrlProps/ctrlProp74.xml"/><Relationship Id="rId31" Type="http://schemas.openxmlformats.org/officeDocument/2006/relationships/ctrlProp" Target="../ctrlProps/ctrlProp95.xml"/><Relationship Id="rId44" Type="http://schemas.openxmlformats.org/officeDocument/2006/relationships/ctrlProp" Target="../ctrlProps/ctrlProp108.xml"/><Relationship Id="rId52" Type="http://schemas.openxmlformats.org/officeDocument/2006/relationships/ctrlProp" Target="../ctrlProps/ctrlProp116.xml"/><Relationship Id="rId60" Type="http://schemas.openxmlformats.org/officeDocument/2006/relationships/ctrlProp" Target="../ctrlProps/ctrlProp124.xml"/><Relationship Id="rId65" Type="http://schemas.openxmlformats.org/officeDocument/2006/relationships/ctrlProp" Target="../ctrlProps/ctrlProp129.xml"/><Relationship Id="rId73" Type="http://schemas.openxmlformats.org/officeDocument/2006/relationships/ctrlProp" Target="../ctrlProps/ctrlProp137.xml"/><Relationship Id="rId78" Type="http://schemas.openxmlformats.org/officeDocument/2006/relationships/ctrlProp" Target="../ctrlProps/ctrlProp142.xml"/><Relationship Id="rId81" Type="http://schemas.openxmlformats.org/officeDocument/2006/relationships/ctrlProp" Target="../ctrlProps/ctrlProp145.xml"/><Relationship Id="rId86" Type="http://schemas.openxmlformats.org/officeDocument/2006/relationships/ctrlProp" Target="../ctrlProps/ctrlProp150.xml"/><Relationship Id="rId94" Type="http://schemas.openxmlformats.org/officeDocument/2006/relationships/ctrlProp" Target="../ctrlProps/ctrlProp158.xml"/><Relationship Id="rId99" Type="http://schemas.openxmlformats.org/officeDocument/2006/relationships/ctrlProp" Target="../ctrlProps/ctrlProp163.xml"/><Relationship Id="rId101" Type="http://schemas.openxmlformats.org/officeDocument/2006/relationships/ctrlProp" Target="../ctrlProps/ctrlProp165.xml"/><Relationship Id="rId4" Type="http://schemas.openxmlformats.org/officeDocument/2006/relationships/ctrlProp" Target="../ctrlProps/ctrlProp68.xml"/><Relationship Id="rId9" Type="http://schemas.openxmlformats.org/officeDocument/2006/relationships/ctrlProp" Target="../ctrlProps/ctrlProp73.xml"/><Relationship Id="rId13" Type="http://schemas.openxmlformats.org/officeDocument/2006/relationships/ctrlProp" Target="../ctrlProps/ctrlProp77.xml"/><Relationship Id="rId18" Type="http://schemas.openxmlformats.org/officeDocument/2006/relationships/ctrlProp" Target="../ctrlProps/ctrlProp82.xml"/><Relationship Id="rId39" Type="http://schemas.openxmlformats.org/officeDocument/2006/relationships/ctrlProp" Target="../ctrlProps/ctrlProp10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.xml"/><Relationship Id="rId18" Type="http://schemas.openxmlformats.org/officeDocument/2006/relationships/ctrlProp" Target="../ctrlProps/ctrlProp8.xml"/><Relationship Id="rId26" Type="http://schemas.openxmlformats.org/officeDocument/2006/relationships/ctrlProp" Target="../ctrlProps/ctrlProp16.xml"/><Relationship Id="rId39" Type="http://schemas.openxmlformats.org/officeDocument/2006/relationships/ctrlProp" Target="../ctrlProps/ctrlProp29.xml"/><Relationship Id="rId21" Type="http://schemas.openxmlformats.org/officeDocument/2006/relationships/ctrlProp" Target="../ctrlProps/ctrlProp11.xml"/><Relationship Id="rId34" Type="http://schemas.openxmlformats.org/officeDocument/2006/relationships/ctrlProp" Target="../ctrlProps/ctrlProp24.xml"/><Relationship Id="rId42" Type="http://schemas.openxmlformats.org/officeDocument/2006/relationships/ctrlProp" Target="../ctrlProps/ctrlProp32.xml"/><Relationship Id="rId47" Type="http://schemas.openxmlformats.org/officeDocument/2006/relationships/ctrlProp" Target="../ctrlProps/ctrlProp37.xml"/><Relationship Id="rId50" Type="http://schemas.openxmlformats.org/officeDocument/2006/relationships/ctrlProp" Target="../ctrlProps/ctrlProp40.xml"/><Relationship Id="rId55" Type="http://schemas.openxmlformats.org/officeDocument/2006/relationships/ctrlProp" Target="../ctrlProps/ctrlProp45.xml"/><Relationship Id="rId63" Type="http://schemas.openxmlformats.org/officeDocument/2006/relationships/ctrlProp" Target="../ctrlProps/ctrlProp53.xml"/><Relationship Id="rId68" Type="http://schemas.openxmlformats.org/officeDocument/2006/relationships/ctrlProp" Target="../ctrlProps/ctrlProp58.xml"/><Relationship Id="rId76" Type="http://schemas.openxmlformats.org/officeDocument/2006/relationships/ctrlProp" Target="../ctrlProps/ctrlProp66.xml"/><Relationship Id="rId7" Type="http://schemas.openxmlformats.org/officeDocument/2006/relationships/hyperlink" Target="http://www.skogsstyrelsen.se/Global/myndigheten/Skog%20och%20miljo/Skog-jakt-vilt/%c3%84bin%20Manual%20(version1.0).pdf" TargetMode="External"/><Relationship Id="rId71" Type="http://schemas.openxmlformats.org/officeDocument/2006/relationships/ctrlProp" Target="../ctrlProps/ctrlProp61.xml"/><Relationship Id="rId2" Type="http://schemas.openxmlformats.org/officeDocument/2006/relationships/hyperlink" Target="http://www.slu.se/PageFiles/33707/2011/FaktaSkog_11_2011.pdf" TargetMode="External"/><Relationship Id="rId16" Type="http://schemas.openxmlformats.org/officeDocument/2006/relationships/ctrlProp" Target="../ctrlProps/ctrlProp6.xml"/><Relationship Id="rId29" Type="http://schemas.openxmlformats.org/officeDocument/2006/relationships/ctrlProp" Target="../ctrlProps/ctrlProp19.xml"/><Relationship Id="rId11" Type="http://schemas.openxmlformats.org/officeDocument/2006/relationships/ctrlProp" Target="../ctrlProps/ctrlProp1.xml"/><Relationship Id="rId24" Type="http://schemas.openxmlformats.org/officeDocument/2006/relationships/ctrlProp" Target="../ctrlProps/ctrlProp14.xml"/><Relationship Id="rId32" Type="http://schemas.openxmlformats.org/officeDocument/2006/relationships/ctrlProp" Target="../ctrlProps/ctrlProp22.xml"/><Relationship Id="rId37" Type="http://schemas.openxmlformats.org/officeDocument/2006/relationships/ctrlProp" Target="../ctrlProps/ctrlProp27.xml"/><Relationship Id="rId40" Type="http://schemas.openxmlformats.org/officeDocument/2006/relationships/ctrlProp" Target="../ctrlProps/ctrlProp30.xml"/><Relationship Id="rId45" Type="http://schemas.openxmlformats.org/officeDocument/2006/relationships/ctrlProp" Target="../ctrlProps/ctrlProp35.xml"/><Relationship Id="rId53" Type="http://schemas.openxmlformats.org/officeDocument/2006/relationships/ctrlProp" Target="../ctrlProps/ctrlProp43.xml"/><Relationship Id="rId58" Type="http://schemas.openxmlformats.org/officeDocument/2006/relationships/ctrlProp" Target="../ctrlProps/ctrlProp48.xml"/><Relationship Id="rId66" Type="http://schemas.openxmlformats.org/officeDocument/2006/relationships/ctrlProp" Target="../ctrlProps/ctrlProp56.xml"/><Relationship Id="rId74" Type="http://schemas.openxmlformats.org/officeDocument/2006/relationships/ctrlProp" Target="../ctrlProps/ctrlProp64.xml"/><Relationship Id="rId5" Type="http://schemas.openxmlformats.org/officeDocument/2006/relationships/hyperlink" Target="http://www.slu.se/PageFiles/33707/2011/FaktaSkog_14_2011.pdf" TargetMode="External"/><Relationship Id="rId15" Type="http://schemas.openxmlformats.org/officeDocument/2006/relationships/ctrlProp" Target="../ctrlProps/ctrlProp5.xml"/><Relationship Id="rId23" Type="http://schemas.openxmlformats.org/officeDocument/2006/relationships/ctrlProp" Target="../ctrlProps/ctrlProp13.xml"/><Relationship Id="rId28" Type="http://schemas.openxmlformats.org/officeDocument/2006/relationships/ctrlProp" Target="../ctrlProps/ctrlProp18.xml"/><Relationship Id="rId36" Type="http://schemas.openxmlformats.org/officeDocument/2006/relationships/ctrlProp" Target="../ctrlProps/ctrlProp26.xml"/><Relationship Id="rId49" Type="http://schemas.openxmlformats.org/officeDocument/2006/relationships/ctrlProp" Target="../ctrlProps/ctrlProp39.xml"/><Relationship Id="rId57" Type="http://schemas.openxmlformats.org/officeDocument/2006/relationships/ctrlProp" Target="../ctrlProps/ctrlProp47.xml"/><Relationship Id="rId61" Type="http://schemas.openxmlformats.org/officeDocument/2006/relationships/ctrlProp" Target="../ctrlProps/ctrlProp51.xml"/><Relationship Id="rId10" Type="http://schemas.openxmlformats.org/officeDocument/2006/relationships/vmlDrawing" Target="../drawings/vmlDrawing1.vml"/><Relationship Id="rId19" Type="http://schemas.openxmlformats.org/officeDocument/2006/relationships/ctrlProp" Target="../ctrlProps/ctrlProp9.xml"/><Relationship Id="rId31" Type="http://schemas.openxmlformats.org/officeDocument/2006/relationships/ctrlProp" Target="../ctrlProps/ctrlProp21.xml"/><Relationship Id="rId44" Type="http://schemas.openxmlformats.org/officeDocument/2006/relationships/ctrlProp" Target="../ctrlProps/ctrlProp34.xml"/><Relationship Id="rId52" Type="http://schemas.openxmlformats.org/officeDocument/2006/relationships/ctrlProp" Target="../ctrlProps/ctrlProp42.xml"/><Relationship Id="rId60" Type="http://schemas.openxmlformats.org/officeDocument/2006/relationships/ctrlProp" Target="../ctrlProps/ctrlProp50.xml"/><Relationship Id="rId65" Type="http://schemas.openxmlformats.org/officeDocument/2006/relationships/ctrlProp" Target="../ctrlProps/ctrlProp55.xml"/><Relationship Id="rId73" Type="http://schemas.openxmlformats.org/officeDocument/2006/relationships/ctrlProp" Target="../ctrlProps/ctrlProp63.xml"/><Relationship Id="rId4" Type="http://schemas.openxmlformats.org/officeDocument/2006/relationships/hyperlink" Target="http://www.slu.se/PageFiles/33707/2011/FaktaSkog_13_2011.pdf" TargetMode="External"/><Relationship Id="rId9" Type="http://schemas.openxmlformats.org/officeDocument/2006/relationships/drawing" Target="../drawings/drawing2.xml"/><Relationship Id="rId14" Type="http://schemas.openxmlformats.org/officeDocument/2006/relationships/ctrlProp" Target="../ctrlProps/ctrlProp4.xml"/><Relationship Id="rId22" Type="http://schemas.openxmlformats.org/officeDocument/2006/relationships/ctrlProp" Target="../ctrlProps/ctrlProp12.xml"/><Relationship Id="rId27" Type="http://schemas.openxmlformats.org/officeDocument/2006/relationships/ctrlProp" Target="../ctrlProps/ctrlProp17.xml"/><Relationship Id="rId30" Type="http://schemas.openxmlformats.org/officeDocument/2006/relationships/ctrlProp" Target="../ctrlProps/ctrlProp20.xml"/><Relationship Id="rId35" Type="http://schemas.openxmlformats.org/officeDocument/2006/relationships/ctrlProp" Target="../ctrlProps/ctrlProp25.xml"/><Relationship Id="rId43" Type="http://schemas.openxmlformats.org/officeDocument/2006/relationships/ctrlProp" Target="../ctrlProps/ctrlProp33.xml"/><Relationship Id="rId48" Type="http://schemas.openxmlformats.org/officeDocument/2006/relationships/ctrlProp" Target="../ctrlProps/ctrlProp38.xml"/><Relationship Id="rId56" Type="http://schemas.openxmlformats.org/officeDocument/2006/relationships/ctrlProp" Target="../ctrlProps/ctrlProp46.xml"/><Relationship Id="rId64" Type="http://schemas.openxmlformats.org/officeDocument/2006/relationships/ctrlProp" Target="../ctrlProps/ctrlProp54.xml"/><Relationship Id="rId69" Type="http://schemas.openxmlformats.org/officeDocument/2006/relationships/ctrlProp" Target="../ctrlProps/ctrlProp59.xml"/><Relationship Id="rId77" Type="http://schemas.openxmlformats.org/officeDocument/2006/relationships/comments" Target="../comments1.xml"/><Relationship Id="rId8" Type="http://schemas.openxmlformats.org/officeDocument/2006/relationships/printerSettings" Target="../printerSettings/printerSettings2.bin"/><Relationship Id="rId51" Type="http://schemas.openxmlformats.org/officeDocument/2006/relationships/ctrlProp" Target="../ctrlProps/ctrlProp41.xml"/><Relationship Id="rId72" Type="http://schemas.openxmlformats.org/officeDocument/2006/relationships/ctrlProp" Target="../ctrlProps/ctrlProp62.xml"/><Relationship Id="rId3" Type="http://schemas.openxmlformats.org/officeDocument/2006/relationships/hyperlink" Target="http://www.slu.se/PageFiles/33707/2011/FaktaSkog_12_2011.pdf" TargetMode="External"/><Relationship Id="rId12" Type="http://schemas.openxmlformats.org/officeDocument/2006/relationships/ctrlProp" Target="../ctrlProps/ctrlProp2.xml"/><Relationship Id="rId17" Type="http://schemas.openxmlformats.org/officeDocument/2006/relationships/ctrlProp" Target="../ctrlProps/ctrlProp7.xml"/><Relationship Id="rId25" Type="http://schemas.openxmlformats.org/officeDocument/2006/relationships/ctrlProp" Target="../ctrlProps/ctrlProp15.xml"/><Relationship Id="rId33" Type="http://schemas.openxmlformats.org/officeDocument/2006/relationships/ctrlProp" Target="../ctrlProps/ctrlProp23.xml"/><Relationship Id="rId38" Type="http://schemas.openxmlformats.org/officeDocument/2006/relationships/ctrlProp" Target="../ctrlProps/ctrlProp28.xml"/><Relationship Id="rId46" Type="http://schemas.openxmlformats.org/officeDocument/2006/relationships/ctrlProp" Target="../ctrlProps/ctrlProp36.xml"/><Relationship Id="rId59" Type="http://schemas.openxmlformats.org/officeDocument/2006/relationships/ctrlProp" Target="../ctrlProps/ctrlProp49.xml"/><Relationship Id="rId67" Type="http://schemas.openxmlformats.org/officeDocument/2006/relationships/ctrlProp" Target="../ctrlProps/ctrlProp57.xml"/><Relationship Id="rId20" Type="http://schemas.openxmlformats.org/officeDocument/2006/relationships/ctrlProp" Target="../ctrlProps/ctrlProp10.xml"/><Relationship Id="rId41" Type="http://schemas.openxmlformats.org/officeDocument/2006/relationships/ctrlProp" Target="../ctrlProps/ctrlProp31.xml"/><Relationship Id="rId54" Type="http://schemas.openxmlformats.org/officeDocument/2006/relationships/ctrlProp" Target="../ctrlProps/ctrlProp44.xml"/><Relationship Id="rId62" Type="http://schemas.openxmlformats.org/officeDocument/2006/relationships/ctrlProp" Target="../ctrlProps/ctrlProp52.xml"/><Relationship Id="rId70" Type="http://schemas.openxmlformats.org/officeDocument/2006/relationships/ctrlProp" Target="../ctrlProps/ctrlProp60.xml"/><Relationship Id="rId75" Type="http://schemas.openxmlformats.org/officeDocument/2006/relationships/ctrlProp" Target="../ctrlProps/ctrlProp65.xml"/><Relationship Id="rId1" Type="http://schemas.openxmlformats.org/officeDocument/2006/relationships/hyperlink" Target="http://www.slu.se/PageFiles/33707/2011/FaktaSkog_10_2011.pdf" TargetMode="External"/><Relationship Id="rId6" Type="http://schemas.openxmlformats.org/officeDocument/2006/relationships/hyperlink" Target="http://www.skogsstyrelsen.se/foderprognose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18"/>
  <sheetViews>
    <sheetView workbookViewId="0">
      <selection activeCell="A4" sqref="A4 A4"/>
    </sheetView>
  </sheetViews>
  <sheetFormatPr defaultRowHeight="14.4" x14ac:dyDescent="0.3"/>
  <cols>
    <col min="1" max="1" width="72.109375" style="70" bestFit="1" customWidth="1"/>
  </cols>
  <sheetData>
    <row r="1" spans="1:1" ht="18.75" customHeight="1" x14ac:dyDescent="0.35">
      <c r="A1" s="72" t="s">
        <v>0</v>
      </c>
    </row>
    <row r="3" spans="1:1" x14ac:dyDescent="0.3">
      <c r="A3" s="73" t="s">
        <v>1</v>
      </c>
    </row>
    <row r="4" spans="1:1" x14ac:dyDescent="0.3">
      <c r="A4" s="71" t="s">
        <v>2</v>
      </c>
    </row>
    <row r="5" spans="1:1" x14ac:dyDescent="0.3">
      <c r="A5" s="74" t="s">
        <v>3</v>
      </c>
    </row>
    <row r="6" spans="1:1" s="70" customFormat="1" x14ac:dyDescent="0.3">
      <c r="A6" s="75" t="s">
        <v>4</v>
      </c>
    </row>
    <row r="7" spans="1:1" x14ac:dyDescent="0.3">
      <c r="A7" s="39" t="s">
        <v>5</v>
      </c>
    </row>
    <row r="9" spans="1:1" x14ac:dyDescent="0.3">
      <c r="A9" s="73" t="s">
        <v>6</v>
      </c>
    </row>
    <row r="11" spans="1:1" x14ac:dyDescent="0.3">
      <c r="A11" s="73"/>
    </row>
    <row r="18" spans="1:1" x14ac:dyDescent="0.3">
      <c r="A18" s="76"/>
    </row>
  </sheetData>
  <sheetProtection algorithmName="SHA-512" hashValue="qXW7bCnDJuRQYUYWkPVrU763OfotT045aFySvlX3sVNWa2sIGDTMVRkQ45jS7HdwVTbNA3SKCcTWW3QNpbPitA==" saltValue="RA1irgKOGAjn9ytvdT9HaA==" spinCount="100000" sheet="1" objects="1" scenario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8"/>
  <dimension ref="I27:L37"/>
  <sheetViews>
    <sheetView topLeftCell="A4" workbookViewId="0">
      <selection activeCell="A27" sqref="A27"/>
    </sheetView>
  </sheetViews>
  <sheetFormatPr defaultRowHeight="14.4" x14ac:dyDescent="0.3"/>
  <sheetData>
    <row r="27" spans="9:9" x14ac:dyDescent="0.3">
      <c r="I27" s="70"/>
    </row>
    <row r="37" spans="12:12" x14ac:dyDescent="0.3">
      <c r="L37" s="70"/>
    </row>
  </sheetData>
  <sheetProtection password="DB3D" sheet="1" objects="1" scenarios="1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9"/>
  <dimension ref="A11:P11"/>
  <sheetViews>
    <sheetView workbookViewId="0">
      <selection activeCell="I31" sqref="I31 I31"/>
    </sheetView>
  </sheetViews>
  <sheetFormatPr defaultRowHeight="14.4" x14ac:dyDescent="0.3"/>
  <cols>
    <col min="1" max="8" width="9.109375" style="70" customWidth="1"/>
    <col min="9" max="9" width="13.6640625" style="70" customWidth="1"/>
  </cols>
  <sheetData>
    <row r="11" spans="16:16" x14ac:dyDescent="0.3">
      <c r="P11" s="70"/>
    </row>
  </sheetData>
  <sheetProtection password="DB3D" sheet="1" objects="1" scenarios="1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0"/>
  <dimension ref="A1:V143"/>
  <sheetViews>
    <sheetView topLeftCell="B1" zoomScaleNormal="100" workbookViewId="0">
      <selection activeCell="C141" sqref="C141 C141 C141:C143"/>
    </sheetView>
  </sheetViews>
  <sheetFormatPr defaultRowHeight="14.4" x14ac:dyDescent="0.3"/>
  <cols>
    <col min="1" max="1" width="15.33203125" style="70" bestFit="1" customWidth="1"/>
    <col min="2" max="2" width="53.33203125" style="70" bestFit="1" customWidth="1"/>
    <col min="3" max="3" width="34.5546875" style="70" customWidth="1"/>
    <col min="4" max="4" width="10.88671875" style="70" bestFit="1" customWidth="1"/>
    <col min="5" max="5" width="22.33203125" style="70" customWidth="1"/>
    <col min="6" max="7" width="9.33203125" style="70" bestFit="1" customWidth="1"/>
    <col min="8" max="8" width="8.5546875" style="70" customWidth="1"/>
    <col min="9" max="10" width="10.44140625" style="70" bestFit="1" customWidth="1"/>
    <col min="11" max="11" width="8.5546875" style="70" customWidth="1"/>
    <col min="12" max="13" width="10.33203125" style="70" customWidth="1"/>
    <col min="14" max="14" width="13.6640625" style="70" bestFit="1" customWidth="1"/>
    <col min="15" max="16" width="13.6640625" style="236" customWidth="1"/>
    <col min="17" max="17" width="11" style="70" customWidth="1"/>
    <col min="18" max="18" width="10.88671875" style="70" bestFit="1" customWidth="1"/>
    <col min="19" max="19" width="12" style="70" bestFit="1" customWidth="1"/>
  </cols>
  <sheetData>
    <row r="1" spans="1:22" ht="27.75" customHeight="1" thickTop="1" thickBot="1" x14ac:dyDescent="0.55000000000000004">
      <c r="A1" s="26" t="s">
        <v>118</v>
      </c>
      <c r="B1" s="27">
        <v>2009</v>
      </c>
      <c r="C1"/>
      <c r="D1"/>
      <c r="E1"/>
      <c r="F1"/>
      <c r="G1"/>
      <c r="H1"/>
      <c r="I1"/>
      <c r="J1"/>
      <c r="K1"/>
      <c r="L1"/>
      <c r="M1"/>
      <c r="N1"/>
      <c r="O1" s="70"/>
      <c r="P1" s="70"/>
      <c r="Q1"/>
      <c r="R1"/>
      <c r="S1"/>
    </row>
    <row r="2" spans="1:22" s="202" customFormat="1" ht="65.25" customHeight="1" thickTop="1" thickBot="1" x14ac:dyDescent="0.3">
      <c r="A2" s="58" t="s">
        <v>35</v>
      </c>
      <c r="B2" s="59" t="s">
        <v>41</v>
      </c>
      <c r="C2" s="59" t="s">
        <v>834</v>
      </c>
      <c r="D2" s="59" t="s">
        <v>835</v>
      </c>
      <c r="E2" s="59" t="s">
        <v>836</v>
      </c>
      <c r="F2" s="59" t="s">
        <v>144</v>
      </c>
      <c r="G2" s="59" t="s">
        <v>837</v>
      </c>
      <c r="H2" s="60" t="s">
        <v>838</v>
      </c>
      <c r="I2" s="60" t="s">
        <v>839</v>
      </c>
      <c r="J2" s="60" t="s">
        <v>840</v>
      </c>
      <c r="K2" s="60" t="s">
        <v>841</v>
      </c>
      <c r="L2" s="60" t="s">
        <v>842</v>
      </c>
      <c r="M2" s="60" t="s">
        <v>152</v>
      </c>
      <c r="N2" s="60" t="s">
        <v>158</v>
      </c>
      <c r="O2" s="237" t="s">
        <v>843</v>
      </c>
      <c r="P2" s="238" t="s">
        <v>844</v>
      </c>
      <c r="Q2" s="238" t="s">
        <v>845</v>
      </c>
      <c r="R2" s="239" t="s">
        <v>846</v>
      </c>
      <c r="S2" s="239" t="s">
        <v>847</v>
      </c>
      <c r="T2" s="240" t="s">
        <v>848</v>
      </c>
    </row>
    <row r="3" spans="1:22" x14ac:dyDescent="0.3">
      <c r="A3" s="241" t="s">
        <v>849</v>
      </c>
      <c r="B3" s="242"/>
      <c r="C3" s="243" t="s">
        <v>850</v>
      </c>
      <c r="D3" s="244"/>
      <c r="E3" s="245"/>
      <c r="F3" s="245"/>
      <c r="G3" s="245"/>
      <c r="H3" s="245"/>
      <c r="I3" s="246"/>
      <c r="J3" s="246"/>
      <c r="K3" s="61">
        <f t="shared" ref="K3:K12" si="0">IF(T3=TRUE,F3,0)</f>
        <v>0</v>
      </c>
      <c r="L3" s="62">
        <f t="shared" ref="L3:L12" si="1">IF(T3=TRUE,S3-R3,0)</f>
        <v>0</v>
      </c>
      <c r="M3" s="63">
        <f t="shared" ref="M3:M12" si="2">IF(T3=TRUE,G3/F3,0)</f>
        <v>0</v>
      </c>
      <c r="N3" s="64">
        <f t="shared" ref="N3:N12" si="3">IF(T3=TRUE,(G3*100000)/(F3*L3*C$23),0)</f>
        <v>0</v>
      </c>
      <c r="O3" s="247">
        <f t="shared" ref="O3:O12" si="4">IF(T3=TRUE,K3/K$13,0)</f>
        <v>0</v>
      </c>
      <c r="P3" s="248">
        <f t="shared" ref="P3:P12" si="5">M3*O3</f>
        <v>0</v>
      </c>
      <c r="Q3" s="248">
        <f t="shared" ref="Q3:Q12" si="6">N3*O3</f>
        <v>0</v>
      </c>
      <c r="R3" s="249">
        <f t="shared" ref="R3:R12" si="7">IF(J3&gt;1,J3,C$21+C$22)</f>
        <v>0</v>
      </c>
      <c r="S3" s="249">
        <f t="shared" ref="S3:S12" si="8">IF(I3&gt;1,I3,C$21+H3)</f>
        <v>0</v>
      </c>
      <c r="T3" s="250" t="b">
        <v>0</v>
      </c>
    </row>
    <row r="4" spans="1:22" x14ac:dyDescent="0.3">
      <c r="A4" s="251" t="s">
        <v>851</v>
      </c>
      <c r="B4" s="252"/>
      <c r="C4" s="253" t="s">
        <v>852</v>
      </c>
      <c r="D4" s="254"/>
      <c r="E4" s="255"/>
      <c r="F4" s="255"/>
      <c r="G4" s="255"/>
      <c r="H4" s="255"/>
      <c r="I4" s="255"/>
      <c r="J4" s="255"/>
      <c r="K4" s="62">
        <f t="shared" si="0"/>
        <v>0</v>
      </c>
      <c r="L4" s="62">
        <f t="shared" si="1"/>
        <v>0</v>
      </c>
      <c r="M4" s="63">
        <f t="shared" si="2"/>
        <v>0</v>
      </c>
      <c r="N4" s="64">
        <f t="shared" si="3"/>
        <v>0</v>
      </c>
      <c r="O4" s="256">
        <f t="shared" si="4"/>
        <v>0</v>
      </c>
      <c r="P4" s="248">
        <f t="shared" si="5"/>
        <v>0</v>
      </c>
      <c r="Q4" s="257">
        <f t="shared" si="6"/>
        <v>0</v>
      </c>
      <c r="R4" s="249">
        <f t="shared" si="7"/>
        <v>0</v>
      </c>
      <c r="S4" s="249">
        <f t="shared" si="8"/>
        <v>0</v>
      </c>
      <c r="T4" s="258" t="b">
        <v>0</v>
      </c>
    </row>
    <row r="5" spans="1:22" x14ac:dyDescent="0.3">
      <c r="A5" s="251" t="s">
        <v>853</v>
      </c>
      <c r="B5" s="252"/>
      <c r="C5" s="253" t="s">
        <v>854</v>
      </c>
      <c r="D5" s="254"/>
      <c r="E5" s="255"/>
      <c r="F5" s="255"/>
      <c r="G5" s="255"/>
      <c r="H5" s="255"/>
      <c r="I5" s="255"/>
      <c r="J5" s="255"/>
      <c r="K5" s="62">
        <f t="shared" si="0"/>
        <v>0</v>
      </c>
      <c r="L5" s="62">
        <f t="shared" si="1"/>
        <v>0</v>
      </c>
      <c r="M5" s="63">
        <f t="shared" si="2"/>
        <v>0</v>
      </c>
      <c r="N5" s="64">
        <f t="shared" si="3"/>
        <v>0</v>
      </c>
      <c r="O5" s="256">
        <f t="shared" si="4"/>
        <v>0</v>
      </c>
      <c r="P5" s="248">
        <f t="shared" si="5"/>
        <v>0</v>
      </c>
      <c r="Q5" s="257">
        <f t="shared" si="6"/>
        <v>0</v>
      </c>
      <c r="R5" s="249">
        <f t="shared" si="7"/>
        <v>0</v>
      </c>
      <c r="S5" s="249">
        <f t="shared" si="8"/>
        <v>0</v>
      </c>
      <c r="T5" s="258" t="b">
        <v>0</v>
      </c>
    </row>
    <row r="6" spans="1:22" x14ac:dyDescent="0.3">
      <c r="A6" s="251" t="s">
        <v>855</v>
      </c>
      <c r="B6" s="252"/>
      <c r="C6" s="253" t="s">
        <v>856</v>
      </c>
      <c r="D6" s="254"/>
      <c r="E6" s="255"/>
      <c r="F6" s="255"/>
      <c r="G6" s="255"/>
      <c r="H6" s="255"/>
      <c r="I6" s="255"/>
      <c r="J6" s="255"/>
      <c r="K6" s="62">
        <f t="shared" si="0"/>
        <v>0</v>
      </c>
      <c r="L6" s="62">
        <f t="shared" si="1"/>
        <v>0</v>
      </c>
      <c r="M6" s="63">
        <f t="shared" si="2"/>
        <v>0</v>
      </c>
      <c r="N6" s="64">
        <f t="shared" si="3"/>
        <v>0</v>
      </c>
      <c r="O6" s="256">
        <f t="shared" si="4"/>
        <v>0</v>
      </c>
      <c r="P6" s="248">
        <f t="shared" si="5"/>
        <v>0</v>
      </c>
      <c r="Q6" s="257">
        <f t="shared" si="6"/>
        <v>0</v>
      </c>
      <c r="R6" s="249">
        <f t="shared" si="7"/>
        <v>0</v>
      </c>
      <c r="S6" s="249">
        <f t="shared" si="8"/>
        <v>0</v>
      </c>
      <c r="T6" s="258" t="b">
        <v>0</v>
      </c>
    </row>
    <row r="7" spans="1:22" x14ac:dyDescent="0.3">
      <c r="A7" s="251" t="s">
        <v>857</v>
      </c>
      <c r="B7" s="252"/>
      <c r="C7" s="253" t="s">
        <v>858</v>
      </c>
      <c r="D7" s="254"/>
      <c r="E7" s="255"/>
      <c r="F7" s="255"/>
      <c r="G7" s="255"/>
      <c r="H7" s="255"/>
      <c r="I7" s="255"/>
      <c r="J7" s="255"/>
      <c r="K7" s="62">
        <f t="shared" si="0"/>
        <v>0</v>
      </c>
      <c r="L7" s="62">
        <f t="shared" si="1"/>
        <v>0</v>
      </c>
      <c r="M7" s="63">
        <f t="shared" si="2"/>
        <v>0</v>
      </c>
      <c r="N7" s="64">
        <f t="shared" si="3"/>
        <v>0</v>
      </c>
      <c r="O7" s="256">
        <f t="shared" si="4"/>
        <v>0</v>
      </c>
      <c r="P7" s="248">
        <f t="shared" si="5"/>
        <v>0</v>
      </c>
      <c r="Q7" s="257">
        <f t="shared" si="6"/>
        <v>0</v>
      </c>
      <c r="R7" s="249">
        <f t="shared" si="7"/>
        <v>0</v>
      </c>
      <c r="S7" s="249">
        <f t="shared" si="8"/>
        <v>0</v>
      </c>
      <c r="T7" s="258" t="b">
        <v>0</v>
      </c>
    </row>
    <row r="8" spans="1:22" x14ac:dyDescent="0.3">
      <c r="A8" s="251" t="s">
        <v>859</v>
      </c>
      <c r="B8" s="252"/>
      <c r="C8" s="253" t="s">
        <v>860</v>
      </c>
      <c r="D8" s="254"/>
      <c r="E8" s="255"/>
      <c r="F8" s="255"/>
      <c r="G8" s="255"/>
      <c r="H8" s="255"/>
      <c r="I8" s="255"/>
      <c r="J8" s="255"/>
      <c r="K8" s="62">
        <f t="shared" si="0"/>
        <v>0</v>
      </c>
      <c r="L8" s="62">
        <f t="shared" si="1"/>
        <v>0</v>
      </c>
      <c r="M8" s="63">
        <f t="shared" si="2"/>
        <v>0</v>
      </c>
      <c r="N8" s="64">
        <f t="shared" si="3"/>
        <v>0</v>
      </c>
      <c r="O8" s="256">
        <f t="shared" si="4"/>
        <v>0</v>
      </c>
      <c r="P8" s="248">
        <f t="shared" si="5"/>
        <v>0</v>
      </c>
      <c r="Q8" s="257">
        <f t="shared" si="6"/>
        <v>0</v>
      </c>
      <c r="R8" s="249">
        <f t="shared" si="7"/>
        <v>0</v>
      </c>
      <c r="S8" s="249">
        <f t="shared" si="8"/>
        <v>0</v>
      </c>
      <c r="T8" s="258" t="b">
        <v>0</v>
      </c>
    </row>
    <row r="9" spans="1:22" x14ac:dyDescent="0.3">
      <c r="A9" s="251" t="s">
        <v>861</v>
      </c>
      <c r="B9" s="252"/>
      <c r="C9" s="253" t="s">
        <v>862</v>
      </c>
      <c r="D9" s="254"/>
      <c r="E9" s="255"/>
      <c r="F9" s="255"/>
      <c r="G9" s="255"/>
      <c r="H9" s="255"/>
      <c r="I9" s="255"/>
      <c r="J9" s="255"/>
      <c r="K9" s="62">
        <f t="shared" si="0"/>
        <v>0</v>
      </c>
      <c r="L9" s="62">
        <f t="shared" si="1"/>
        <v>0</v>
      </c>
      <c r="M9" s="63">
        <f t="shared" si="2"/>
        <v>0</v>
      </c>
      <c r="N9" s="64">
        <f t="shared" si="3"/>
        <v>0</v>
      </c>
      <c r="O9" s="256">
        <f t="shared" si="4"/>
        <v>0</v>
      </c>
      <c r="P9" s="248">
        <f t="shared" si="5"/>
        <v>0</v>
      </c>
      <c r="Q9" s="257">
        <f t="shared" si="6"/>
        <v>0</v>
      </c>
      <c r="R9" s="249">
        <f t="shared" si="7"/>
        <v>0</v>
      </c>
      <c r="S9" s="249">
        <f t="shared" si="8"/>
        <v>0</v>
      </c>
      <c r="T9" s="258" t="b">
        <v>0</v>
      </c>
    </row>
    <row r="10" spans="1:22" x14ac:dyDescent="0.3">
      <c r="A10" s="251" t="s">
        <v>863</v>
      </c>
      <c r="B10" s="252"/>
      <c r="C10" s="253" t="s">
        <v>864</v>
      </c>
      <c r="D10" s="254"/>
      <c r="E10" s="255"/>
      <c r="F10" s="255"/>
      <c r="G10" s="255"/>
      <c r="H10" s="255"/>
      <c r="I10" s="255"/>
      <c r="J10" s="255"/>
      <c r="K10" s="62">
        <f t="shared" si="0"/>
        <v>0</v>
      </c>
      <c r="L10" s="62">
        <f t="shared" si="1"/>
        <v>0</v>
      </c>
      <c r="M10" s="63">
        <f t="shared" si="2"/>
        <v>0</v>
      </c>
      <c r="N10" s="64">
        <f t="shared" si="3"/>
        <v>0</v>
      </c>
      <c r="O10" s="256">
        <f t="shared" si="4"/>
        <v>0</v>
      </c>
      <c r="P10" s="248">
        <f t="shared" si="5"/>
        <v>0</v>
      </c>
      <c r="Q10" s="257">
        <f t="shared" si="6"/>
        <v>0</v>
      </c>
      <c r="R10" s="249">
        <f t="shared" si="7"/>
        <v>0</v>
      </c>
      <c r="S10" s="249">
        <f t="shared" si="8"/>
        <v>0</v>
      </c>
      <c r="T10" s="258" t="b">
        <v>0</v>
      </c>
    </row>
    <row r="11" spans="1:22" x14ac:dyDescent="0.3">
      <c r="A11" s="251" t="s">
        <v>865</v>
      </c>
      <c r="B11" s="252"/>
      <c r="C11" s="253" t="s">
        <v>866</v>
      </c>
      <c r="D11" s="254"/>
      <c r="E11" s="255"/>
      <c r="F11" s="255"/>
      <c r="G11" s="255"/>
      <c r="H11" s="255"/>
      <c r="I11" s="255"/>
      <c r="J11" s="255"/>
      <c r="K11" s="62">
        <f t="shared" si="0"/>
        <v>0</v>
      </c>
      <c r="L11" s="62">
        <f t="shared" si="1"/>
        <v>0</v>
      </c>
      <c r="M11" s="63">
        <f t="shared" si="2"/>
        <v>0</v>
      </c>
      <c r="N11" s="64">
        <f t="shared" si="3"/>
        <v>0</v>
      </c>
      <c r="O11" s="256">
        <f t="shared" si="4"/>
        <v>0</v>
      </c>
      <c r="P11" s="248">
        <f t="shared" si="5"/>
        <v>0</v>
      </c>
      <c r="Q11" s="257">
        <f t="shared" si="6"/>
        <v>0</v>
      </c>
      <c r="R11" s="249">
        <f t="shared" si="7"/>
        <v>0</v>
      </c>
      <c r="S11" s="249">
        <f t="shared" si="8"/>
        <v>0</v>
      </c>
      <c r="T11" s="258" t="b">
        <v>0</v>
      </c>
    </row>
    <row r="12" spans="1:22" ht="15.75" customHeight="1" thickBot="1" x14ac:dyDescent="0.35">
      <c r="A12" s="259" t="s">
        <v>867</v>
      </c>
      <c r="B12" s="260"/>
      <c r="C12" s="261" t="s">
        <v>868</v>
      </c>
      <c r="D12" s="262"/>
      <c r="E12" s="263"/>
      <c r="F12" s="263"/>
      <c r="G12" s="263"/>
      <c r="H12" s="263"/>
      <c r="I12" s="263"/>
      <c r="J12" s="263"/>
      <c r="K12" s="65">
        <f t="shared" si="0"/>
        <v>0</v>
      </c>
      <c r="L12" s="62">
        <f t="shared" si="1"/>
        <v>0</v>
      </c>
      <c r="M12" s="63">
        <f t="shared" si="2"/>
        <v>0</v>
      </c>
      <c r="N12" s="66">
        <f t="shared" si="3"/>
        <v>0</v>
      </c>
      <c r="O12" s="264">
        <f t="shared" si="4"/>
        <v>0</v>
      </c>
      <c r="P12" s="248">
        <f t="shared" si="5"/>
        <v>0</v>
      </c>
      <c r="Q12" s="265">
        <f t="shared" si="6"/>
        <v>0</v>
      </c>
      <c r="R12" s="249">
        <f t="shared" si="7"/>
        <v>0</v>
      </c>
      <c r="S12" s="249">
        <f t="shared" si="8"/>
        <v>0</v>
      </c>
      <c r="T12" s="266" t="b">
        <v>0</v>
      </c>
    </row>
    <row r="13" spans="1:22" s="273" customFormat="1" ht="15.75" customHeight="1" thickBot="1" x14ac:dyDescent="0.35">
      <c r="A13" s="23" t="s">
        <v>869</v>
      </c>
      <c r="B13" s="67"/>
      <c r="C13" s="24" t="s">
        <v>81</v>
      </c>
      <c r="D13" s="24"/>
      <c r="E13" s="24"/>
      <c r="F13" s="24">
        <f>SUBTOTAL(9,F3:F12)</f>
        <v>0</v>
      </c>
      <c r="G13" s="24">
        <f>SUBTOTAL(9,G3:G12)</f>
        <v>0</v>
      </c>
      <c r="H13" s="24"/>
      <c r="I13" s="24"/>
      <c r="J13" s="24"/>
      <c r="K13" s="24">
        <f>SUBTOTAL(9,K3:K12)</f>
        <v>0</v>
      </c>
      <c r="L13" s="24">
        <f>SUBTOTAL(9,L3:L12)</f>
        <v>0</v>
      </c>
      <c r="M13" s="68">
        <f>P13</f>
        <v>0</v>
      </c>
      <c r="N13" s="68">
        <f>Q13</f>
        <v>0</v>
      </c>
      <c r="O13" s="267">
        <f>SUBTOTAL(9,O3:O12)</f>
        <v>0</v>
      </c>
      <c r="P13" s="268">
        <f>SUBTOTAL(9,P3:P12)</f>
        <v>0</v>
      </c>
      <c r="Q13" s="268">
        <f>SUBTOTAL(9,Q3:Q12)</f>
        <v>0</v>
      </c>
      <c r="R13" s="269"/>
      <c r="S13" s="269"/>
      <c r="T13" s="270"/>
    </row>
    <row r="14" spans="1:22" ht="15.75" customHeight="1" thickTop="1" x14ac:dyDescent="0.3">
      <c r="A14" s="70" t="s">
        <v>870</v>
      </c>
      <c r="B14"/>
      <c r="C14"/>
      <c r="D14"/>
      <c r="E14"/>
      <c r="F14"/>
      <c r="G14"/>
      <c r="H14"/>
      <c r="I14"/>
      <c r="J14"/>
      <c r="K14"/>
      <c r="L14"/>
      <c r="M14"/>
      <c r="N14"/>
      <c r="O14" s="70"/>
      <c r="P14" s="70"/>
      <c r="Q14"/>
      <c r="R14"/>
      <c r="S14"/>
      <c r="U14" s="236"/>
      <c r="V14" s="236"/>
    </row>
    <row r="15" spans="1:22" x14ac:dyDescent="0.3">
      <c r="O15" s="70"/>
      <c r="P15" s="70"/>
      <c r="U15" s="236"/>
      <c r="V15" s="236"/>
    </row>
    <row r="16" spans="1:22" x14ac:dyDescent="0.3">
      <c r="B16" s="254" t="s">
        <v>871</v>
      </c>
      <c r="O16" s="70"/>
      <c r="P16" s="70"/>
      <c r="U16" s="236"/>
      <c r="V16" s="236"/>
    </row>
    <row r="17" spans="1:20" x14ac:dyDescent="0.3">
      <c r="B17" s="256" t="s">
        <v>872</v>
      </c>
      <c r="O17" s="70"/>
      <c r="P17" s="70"/>
      <c r="S17" s="236"/>
      <c r="T17" s="236"/>
    </row>
    <row r="18" spans="1:20" x14ac:dyDescent="0.3">
      <c r="B18" s="62" t="s">
        <v>873</v>
      </c>
      <c r="N18" s="187"/>
      <c r="O18" s="70"/>
      <c r="P18" s="70"/>
      <c r="S18" s="236"/>
      <c r="T18" s="236"/>
    </row>
    <row r="19" spans="1:20" x14ac:dyDescent="0.3">
      <c r="N19" s="187"/>
      <c r="O19" s="70"/>
      <c r="P19" s="70"/>
      <c r="S19" s="236"/>
      <c r="T19" s="236"/>
    </row>
    <row r="20" spans="1:20" ht="15.75" customHeight="1" thickBot="1" x14ac:dyDescent="0.35">
      <c r="A20"/>
      <c r="B20" s="25" t="s">
        <v>874</v>
      </c>
      <c r="C20" s="25"/>
      <c r="D20"/>
      <c r="E20"/>
      <c r="F20"/>
      <c r="G20"/>
      <c r="H20"/>
      <c r="I20"/>
      <c r="J20"/>
      <c r="K20"/>
      <c r="N20"/>
      <c r="O20" s="70"/>
      <c r="P20" s="70"/>
      <c r="Q20"/>
      <c r="R20"/>
      <c r="S20" s="236"/>
      <c r="T20" s="236"/>
    </row>
    <row r="21" spans="1:20" x14ac:dyDescent="0.3">
      <c r="B21" s="70" t="s">
        <v>875</v>
      </c>
      <c r="C21" s="235"/>
      <c r="O21" s="70"/>
      <c r="P21" s="70"/>
      <c r="S21" s="236"/>
      <c r="T21" s="236"/>
    </row>
    <row r="22" spans="1:20" x14ac:dyDescent="0.3">
      <c r="B22" s="70" t="s">
        <v>876</v>
      </c>
      <c r="C22" s="271"/>
      <c r="O22" s="70"/>
      <c r="P22" s="70"/>
      <c r="S22" s="236"/>
      <c r="T22" s="236"/>
    </row>
    <row r="23" spans="1:20" x14ac:dyDescent="0.3">
      <c r="B23" s="70" t="s">
        <v>877</v>
      </c>
      <c r="C23" s="272"/>
    </row>
    <row r="24" spans="1:20" ht="15.75" customHeight="1" thickBot="1" x14ac:dyDescent="0.35">
      <c r="O24" s="70"/>
      <c r="P24" s="70"/>
    </row>
    <row r="25" spans="1:20" ht="27.75" customHeight="1" thickTop="1" thickBot="1" x14ac:dyDescent="0.55000000000000004">
      <c r="A25" s="26" t="s">
        <v>118</v>
      </c>
      <c r="B25" s="27">
        <v>2010</v>
      </c>
      <c r="C25"/>
      <c r="D25"/>
      <c r="E25"/>
      <c r="F25"/>
      <c r="G25"/>
      <c r="H25"/>
      <c r="I25"/>
      <c r="J25"/>
      <c r="K25"/>
      <c r="L25"/>
      <c r="M25"/>
      <c r="N25"/>
      <c r="O25" s="70"/>
      <c r="P25" s="70"/>
      <c r="Q25"/>
      <c r="R25"/>
      <c r="S25"/>
    </row>
    <row r="26" spans="1:20" s="202" customFormat="1" ht="65.25" customHeight="1" thickTop="1" thickBot="1" x14ac:dyDescent="0.3">
      <c r="A26" s="58" t="s">
        <v>35</v>
      </c>
      <c r="B26" s="59" t="s">
        <v>41</v>
      </c>
      <c r="C26" s="59" t="s">
        <v>834</v>
      </c>
      <c r="D26" s="59" t="s">
        <v>835</v>
      </c>
      <c r="E26" s="59" t="s">
        <v>836</v>
      </c>
      <c r="F26" s="59" t="s">
        <v>144</v>
      </c>
      <c r="G26" s="59" t="s">
        <v>837</v>
      </c>
      <c r="H26" s="60" t="s">
        <v>842</v>
      </c>
      <c r="I26" s="60"/>
      <c r="J26" s="60" t="s">
        <v>878</v>
      </c>
      <c r="K26" s="60" t="s">
        <v>841</v>
      </c>
      <c r="L26" s="60" t="s">
        <v>842</v>
      </c>
      <c r="M26" s="60" t="s">
        <v>152</v>
      </c>
      <c r="N26" s="60" t="s">
        <v>158</v>
      </c>
      <c r="O26" s="237" t="s">
        <v>843</v>
      </c>
      <c r="P26" s="238" t="s">
        <v>844</v>
      </c>
      <c r="Q26" s="238" t="s">
        <v>845</v>
      </c>
      <c r="R26" s="239" t="s">
        <v>846</v>
      </c>
      <c r="S26" s="239" t="s">
        <v>847</v>
      </c>
      <c r="T26" s="240" t="s">
        <v>848</v>
      </c>
    </row>
    <row r="27" spans="1:20" x14ac:dyDescent="0.3">
      <c r="A27" s="241" t="s">
        <v>849</v>
      </c>
      <c r="B27" s="242"/>
      <c r="C27" s="243" t="s">
        <v>850</v>
      </c>
      <c r="D27" s="244"/>
      <c r="E27" s="245"/>
      <c r="F27" s="245"/>
      <c r="G27" s="245"/>
      <c r="H27" s="245"/>
      <c r="I27" s="245"/>
      <c r="J27" s="246"/>
      <c r="K27" s="61">
        <f t="shared" ref="K27:K36" si="9">IF(T27=TRUE,F27,0)</f>
        <v>0</v>
      </c>
      <c r="L27" s="62">
        <f t="shared" ref="L27:L36" si="10">IF(T27=TRUE,S27-R27,0)</f>
        <v>0</v>
      </c>
      <c r="M27" s="63">
        <f t="shared" ref="M27:M36" si="11">IF(T27=TRUE,G27/F27,0)</f>
        <v>0</v>
      </c>
      <c r="N27" s="63">
        <f t="shared" ref="N27:N36" si="12">IF(T27=TRUE,(G27*100000)/(F27*L27*C$47),0)</f>
        <v>0</v>
      </c>
      <c r="O27" s="247">
        <f t="shared" ref="O27:O36" si="13">IF(T27=TRUE,K27/K$37,0)</f>
        <v>0</v>
      </c>
      <c r="P27" s="248">
        <f t="shared" ref="P27:P36" si="14">M27*O27</f>
        <v>0</v>
      </c>
      <c r="Q27" s="248">
        <f t="shared" ref="Q27:Q36" si="15">N27*O27</f>
        <v>0</v>
      </c>
      <c r="R27" s="249">
        <f t="shared" ref="R27:R36" si="16">IF(J27&gt;1,J27,C$45+C$46)</f>
        <v>0</v>
      </c>
      <c r="S27" s="249">
        <f t="shared" ref="S27:S36" si="17">IF(I27&gt;1,I27,C$45+H27)</f>
        <v>0</v>
      </c>
      <c r="T27" s="250" t="b">
        <v>0</v>
      </c>
    </row>
    <row r="28" spans="1:20" x14ac:dyDescent="0.3">
      <c r="A28" s="251" t="s">
        <v>851</v>
      </c>
      <c r="B28" s="252"/>
      <c r="C28" s="253" t="s">
        <v>852</v>
      </c>
      <c r="D28" s="254"/>
      <c r="E28" s="255"/>
      <c r="F28" s="255"/>
      <c r="G28" s="255"/>
      <c r="H28" s="255"/>
      <c r="I28" s="255"/>
      <c r="J28" s="255"/>
      <c r="K28" s="62">
        <f t="shared" si="9"/>
        <v>0</v>
      </c>
      <c r="L28" s="62">
        <f t="shared" si="10"/>
        <v>0</v>
      </c>
      <c r="M28" s="63">
        <f t="shared" si="11"/>
        <v>0</v>
      </c>
      <c r="N28" s="63">
        <f t="shared" si="12"/>
        <v>0</v>
      </c>
      <c r="O28" s="247">
        <f t="shared" si="13"/>
        <v>0</v>
      </c>
      <c r="P28" s="248">
        <f t="shared" si="14"/>
        <v>0</v>
      </c>
      <c r="Q28" s="257">
        <f t="shared" si="15"/>
        <v>0</v>
      </c>
      <c r="R28" s="249">
        <f t="shared" si="16"/>
        <v>0</v>
      </c>
      <c r="S28" s="249">
        <f t="shared" si="17"/>
        <v>0</v>
      </c>
      <c r="T28" s="258" t="b">
        <v>0</v>
      </c>
    </row>
    <row r="29" spans="1:20" x14ac:dyDescent="0.3">
      <c r="A29" s="251" t="s">
        <v>853</v>
      </c>
      <c r="B29" s="252"/>
      <c r="C29" s="253" t="s">
        <v>854</v>
      </c>
      <c r="D29" s="254"/>
      <c r="E29" s="255"/>
      <c r="F29" s="255"/>
      <c r="G29" s="255"/>
      <c r="H29" s="255"/>
      <c r="I29" s="255"/>
      <c r="J29" s="255"/>
      <c r="K29" s="62">
        <f t="shared" si="9"/>
        <v>0</v>
      </c>
      <c r="L29" s="62">
        <f t="shared" si="10"/>
        <v>0</v>
      </c>
      <c r="M29" s="63">
        <f t="shared" si="11"/>
        <v>0</v>
      </c>
      <c r="N29" s="63">
        <f t="shared" si="12"/>
        <v>0</v>
      </c>
      <c r="O29" s="247">
        <f t="shared" si="13"/>
        <v>0</v>
      </c>
      <c r="P29" s="248">
        <f t="shared" si="14"/>
        <v>0</v>
      </c>
      <c r="Q29" s="257">
        <f t="shared" si="15"/>
        <v>0</v>
      </c>
      <c r="R29" s="249">
        <f t="shared" si="16"/>
        <v>0</v>
      </c>
      <c r="S29" s="249">
        <f t="shared" si="17"/>
        <v>0</v>
      </c>
      <c r="T29" s="258" t="b">
        <v>0</v>
      </c>
    </row>
    <row r="30" spans="1:20" x14ac:dyDescent="0.3">
      <c r="A30" s="251" t="s">
        <v>855</v>
      </c>
      <c r="B30" s="252"/>
      <c r="C30" s="253" t="s">
        <v>856</v>
      </c>
      <c r="D30" s="254"/>
      <c r="E30" s="255"/>
      <c r="F30" s="255"/>
      <c r="G30" s="255"/>
      <c r="H30" s="255"/>
      <c r="I30" s="255"/>
      <c r="J30" s="255"/>
      <c r="K30" s="62">
        <f t="shared" si="9"/>
        <v>0</v>
      </c>
      <c r="L30" s="62">
        <f t="shared" si="10"/>
        <v>0</v>
      </c>
      <c r="M30" s="63">
        <f t="shared" si="11"/>
        <v>0</v>
      </c>
      <c r="N30" s="63">
        <f t="shared" si="12"/>
        <v>0</v>
      </c>
      <c r="O30" s="247">
        <f t="shared" si="13"/>
        <v>0</v>
      </c>
      <c r="P30" s="248">
        <f t="shared" si="14"/>
        <v>0</v>
      </c>
      <c r="Q30" s="257">
        <f t="shared" si="15"/>
        <v>0</v>
      </c>
      <c r="R30" s="249">
        <f t="shared" si="16"/>
        <v>0</v>
      </c>
      <c r="S30" s="249">
        <f t="shared" si="17"/>
        <v>0</v>
      </c>
      <c r="T30" s="258" t="b">
        <v>0</v>
      </c>
    </row>
    <row r="31" spans="1:20" x14ac:dyDescent="0.3">
      <c r="A31" s="251" t="s">
        <v>857</v>
      </c>
      <c r="B31" s="252"/>
      <c r="C31" s="253" t="s">
        <v>858</v>
      </c>
      <c r="D31" s="254"/>
      <c r="E31" s="255"/>
      <c r="F31" s="255"/>
      <c r="G31" s="255"/>
      <c r="H31" s="255"/>
      <c r="I31" s="255"/>
      <c r="J31" s="255"/>
      <c r="K31" s="62">
        <f t="shared" si="9"/>
        <v>0</v>
      </c>
      <c r="L31" s="62">
        <f t="shared" si="10"/>
        <v>0</v>
      </c>
      <c r="M31" s="63">
        <f t="shared" si="11"/>
        <v>0</v>
      </c>
      <c r="N31" s="63">
        <f t="shared" si="12"/>
        <v>0</v>
      </c>
      <c r="O31" s="247">
        <f t="shared" si="13"/>
        <v>0</v>
      </c>
      <c r="P31" s="248">
        <f t="shared" si="14"/>
        <v>0</v>
      </c>
      <c r="Q31" s="257">
        <f t="shared" si="15"/>
        <v>0</v>
      </c>
      <c r="R31" s="249">
        <f t="shared" si="16"/>
        <v>0</v>
      </c>
      <c r="S31" s="249">
        <f t="shared" si="17"/>
        <v>0</v>
      </c>
      <c r="T31" s="258" t="b">
        <v>0</v>
      </c>
    </row>
    <row r="32" spans="1:20" x14ac:dyDescent="0.3">
      <c r="A32" s="251" t="s">
        <v>859</v>
      </c>
      <c r="B32" s="252"/>
      <c r="C32" s="253" t="s">
        <v>860</v>
      </c>
      <c r="D32" s="254"/>
      <c r="E32" s="255"/>
      <c r="F32" s="255"/>
      <c r="G32" s="255"/>
      <c r="H32" s="255"/>
      <c r="I32" s="255"/>
      <c r="J32" s="255"/>
      <c r="K32" s="62">
        <f t="shared" si="9"/>
        <v>0</v>
      </c>
      <c r="L32" s="62">
        <f t="shared" si="10"/>
        <v>0</v>
      </c>
      <c r="M32" s="63">
        <f t="shared" si="11"/>
        <v>0</v>
      </c>
      <c r="N32" s="63">
        <f t="shared" si="12"/>
        <v>0</v>
      </c>
      <c r="O32" s="247">
        <f t="shared" si="13"/>
        <v>0</v>
      </c>
      <c r="P32" s="248">
        <f t="shared" si="14"/>
        <v>0</v>
      </c>
      <c r="Q32" s="257">
        <f t="shared" si="15"/>
        <v>0</v>
      </c>
      <c r="R32" s="249">
        <f t="shared" si="16"/>
        <v>0</v>
      </c>
      <c r="S32" s="249">
        <f t="shared" si="17"/>
        <v>0</v>
      </c>
      <c r="T32" s="258" t="b">
        <v>0</v>
      </c>
    </row>
    <row r="33" spans="1:22" x14ac:dyDescent="0.3">
      <c r="A33" s="251" t="s">
        <v>861</v>
      </c>
      <c r="B33" s="252"/>
      <c r="C33" s="253" t="s">
        <v>862</v>
      </c>
      <c r="D33" s="254"/>
      <c r="E33" s="255"/>
      <c r="F33" s="255"/>
      <c r="G33" s="255"/>
      <c r="H33" s="255"/>
      <c r="I33" s="255"/>
      <c r="J33" s="255"/>
      <c r="K33" s="62">
        <f t="shared" si="9"/>
        <v>0</v>
      </c>
      <c r="L33" s="62">
        <f t="shared" si="10"/>
        <v>0</v>
      </c>
      <c r="M33" s="63">
        <f t="shared" si="11"/>
        <v>0</v>
      </c>
      <c r="N33" s="63">
        <f t="shared" si="12"/>
        <v>0</v>
      </c>
      <c r="O33" s="247">
        <f t="shared" si="13"/>
        <v>0</v>
      </c>
      <c r="P33" s="248">
        <f t="shared" si="14"/>
        <v>0</v>
      </c>
      <c r="Q33" s="257">
        <f t="shared" si="15"/>
        <v>0</v>
      </c>
      <c r="R33" s="249">
        <f t="shared" si="16"/>
        <v>0</v>
      </c>
      <c r="S33" s="249">
        <f t="shared" si="17"/>
        <v>0</v>
      </c>
      <c r="T33" s="258" t="b">
        <v>0</v>
      </c>
    </row>
    <row r="34" spans="1:22" x14ac:dyDescent="0.3">
      <c r="A34" s="251" t="s">
        <v>863</v>
      </c>
      <c r="B34" s="252"/>
      <c r="C34" s="253" t="s">
        <v>864</v>
      </c>
      <c r="D34" s="254"/>
      <c r="E34" s="255"/>
      <c r="F34" s="255"/>
      <c r="G34" s="255"/>
      <c r="H34" s="255"/>
      <c r="I34" s="255"/>
      <c r="J34" s="255"/>
      <c r="K34" s="62">
        <f t="shared" si="9"/>
        <v>0</v>
      </c>
      <c r="L34" s="62">
        <f t="shared" si="10"/>
        <v>0</v>
      </c>
      <c r="M34" s="63">
        <f t="shared" si="11"/>
        <v>0</v>
      </c>
      <c r="N34" s="63">
        <f t="shared" si="12"/>
        <v>0</v>
      </c>
      <c r="O34" s="247">
        <f t="shared" si="13"/>
        <v>0</v>
      </c>
      <c r="P34" s="248">
        <f t="shared" si="14"/>
        <v>0</v>
      </c>
      <c r="Q34" s="257">
        <f t="shared" si="15"/>
        <v>0</v>
      </c>
      <c r="R34" s="249">
        <f t="shared" si="16"/>
        <v>0</v>
      </c>
      <c r="S34" s="249">
        <f t="shared" si="17"/>
        <v>0</v>
      </c>
      <c r="T34" s="258" t="b">
        <v>0</v>
      </c>
    </row>
    <row r="35" spans="1:22" x14ac:dyDescent="0.3">
      <c r="A35" s="251" t="s">
        <v>865</v>
      </c>
      <c r="B35" s="252"/>
      <c r="C35" s="253" t="s">
        <v>866</v>
      </c>
      <c r="D35" s="254"/>
      <c r="E35" s="255"/>
      <c r="F35" s="255"/>
      <c r="G35" s="255"/>
      <c r="H35" s="255"/>
      <c r="I35" s="255"/>
      <c r="J35" s="255"/>
      <c r="K35" s="62">
        <f t="shared" si="9"/>
        <v>0</v>
      </c>
      <c r="L35" s="62">
        <f t="shared" si="10"/>
        <v>0</v>
      </c>
      <c r="M35" s="63">
        <f t="shared" si="11"/>
        <v>0</v>
      </c>
      <c r="N35" s="63">
        <f t="shared" si="12"/>
        <v>0</v>
      </c>
      <c r="O35" s="247">
        <f t="shared" si="13"/>
        <v>0</v>
      </c>
      <c r="P35" s="248">
        <f t="shared" si="14"/>
        <v>0</v>
      </c>
      <c r="Q35" s="257">
        <f t="shared" si="15"/>
        <v>0</v>
      </c>
      <c r="R35" s="249">
        <f t="shared" si="16"/>
        <v>0</v>
      </c>
      <c r="S35" s="249">
        <f t="shared" si="17"/>
        <v>0</v>
      </c>
      <c r="T35" s="258" t="b">
        <v>0</v>
      </c>
    </row>
    <row r="36" spans="1:22" ht="15.75" customHeight="1" thickBot="1" x14ac:dyDescent="0.35">
      <c r="A36" s="259" t="s">
        <v>867</v>
      </c>
      <c r="B36" s="260"/>
      <c r="C36" s="261" t="s">
        <v>868</v>
      </c>
      <c r="D36" s="262"/>
      <c r="E36" s="263"/>
      <c r="F36" s="263"/>
      <c r="G36" s="263"/>
      <c r="H36" s="263"/>
      <c r="I36" s="263"/>
      <c r="J36" s="263"/>
      <c r="K36" s="65">
        <f t="shared" si="9"/>
        <v>0</v>
      </c>
      <c r="L36" s="62">
        <f t="shared" si="10"/>
        <v>0</v>
      </c>
      <c r="M36" s="63">
        <f t="shared" si="11"/>
        <v>0</v>
      </c>
      <c r="N36" s="63">
        <f t="shared" si="12"/>
        <v>0</v>
      </c>
      <c r="O36" s="247">
        <f t="shared" si="13"/>
        <v>0</v>
      </c>
      <c r="P36" s="248">
        <f t="shared" si="14"/>
        <v>0</v>
      </c>
      <c r="Q36" s="265">
        <f t="shared" si="15"/>
        <v>0</v>
      </c>
      <c r="R36" s="249">
        <f t="shared" si="16"/>
        <v>0</v>
      </c>
      <c r="S36" s="249">
        <f t="shared" si="17"/>
        <v>0</v>
      </c>
      <c r="T36" s="266" t="b">
        <v>0</v>
      </c>
    </row>
    <row r="37" spans="1:22" s="273" customFormat="1" ht="15.75" customHeight="1" thickBot="1" x14ac:dyDescent="0.35">
      <c r="A37" s="23" t="s">
        <v>869</v>
      </c>
      <c r="B37" s="67"/>
      <c r="C37" s="24" t="s">
        <v>81</v>
      </c>
      <c r="D37" s="24"/>
      <c r="E37" s="24"/>
      <c r="F37" s="24">
        <f>SUBTOTAL(9,F27:F36)</f>
        <v>0</v>
      </c>
      <c r="G37" s="24">
        <f>SUBTOTAL(9,G27:G36)</f>
        <v>0</v>
      </c>
      <c r="H37" s="24"/>
      <c r="I37" s="24"/>
      <c r="J37" s="24"/>
      <c r="K37" s="24">
        <f>SUBTOTAL(9,K27:K36)</f>
        <v>0</v>
      </c>
      <c r="L37" s="24">
        <f>SUBTOTAL(9,L27:L36)</f>
        <v>0</v>
      </c>
      <c r="M37" s="68">
        <f>P37</f>
        <v>0</v>
      </c>
      <c r="N37" s="68">
        <f>Q37</f>
        <v>0</v>
      </c>
      <c r="O37" s="267">
        <f>SUBTOTAL(9,O27:O36)</f>
        <v>0</v>
      </c>
      <c r="P37" s="268">
        <f>SUBTOTAL(9,P27:P36)</f>
        <v>0</v>
      </c>
      <c r="Q37" s="268">
        <f>SUBTOTAL(9,Q27:Q36)</f>
        <v>0</v>
      </c>
      <c r="R37" s="269"/>
      <c r="S37" s="269"/>
      <c r="T37" s="270"/>
    </row>
    <row r="38" spans="1:22" ht="15.75" customHeight="1" thickTop="1" x14ac:dyDescent="0.3">
      <c r="A38" s="70" t="s">
        <v>870</v>
      </c>
      <c r="B38"/>
      <c r="C38"/>
      <c r="D38"/>
      <c r="E38"/>
      <c r="F38"/>
      <c r="G38"/>
      <c r="H38"/>
      <c r="I38"/>
      <c r="J38"/>
      <c r="K38"/>
      <c r="L38"/>
      <c r="M38"/>
      <c r="N38"/>
      <c r="O38" s="70"/>
      <c r="P38" s="70"/>
      <c r="Q38"/>
      <c r="R38"/>
      <c r="S38"/>
      <c r="U38" s="236"/>
      <c r="V38" s="236"/>
    </row>
    <row r="39" spans="1:22" x14ac:dyDescent="0.3">
      <c r="O39" s="70"/>
      <c r="P39" s="70"/>
      <c r="U39" s="236"/>
      <c r="V39" s="236"/>
    </row>
    <row r="40" spans="1:22" x14ac:dyDescent="0.3">
      <c r="B40" s="254" t="s">
        <v>871</v>
      </c>
      <c r="O40" s="70"/>
      <c r="P40" s="70"/>
      <c r="U40" s="236"/>
      <c r="V40" s="236"/>
    </row>
    <row r="41" spans="1:22" x14ac:dyDescent="0.3">
      <c r="B41" s="256" t="s">
        <v>872</v>
      </c>
      <c r="O41" s="70"/>
      <c r="P41" s="70"/>
      <c r="S41" s="236"/>
      <c r="T41" s="236"/>
    </row>
    <row r="42" spans="1:22" x14ac:dyDescent="0.3">
      <c r="B42" s="62" t="s">
        <v>873</v>
      </c>
      <c r="N42" s="187"/>
      <c r="O42" s="70"/>
      <c r="P42" s="70"/>
      <c r="S42" s="236"/>
      <c r="T42" s="236"/>
    </row>
    <row r="43" spans="1:22" x14ac:dyDescent="0.3">
      <c r="N43" s="187"/>
      <c r="O43" s="70"/>
      <c r="P43" s="70"/>
      <c r="S43" s="236"/>
      <c r="T43" s="236"/>
    </row>
    <row r="44" spans="1:22" ht="15.75" customHeight="1" thickBot="1" x14ac:dyDescent="0.35">
      <c r="A44"/>
      <c r="B44" s="25" t="s">
        <v>874</v>
      </c>
      <c r="C44" s="25"/>
      <c r="D44"/>
      <c r="E44"/>
      <c r="F44"/>
      <c r="G44"/>
      <c r="H44"/>
      <c r="I44"/>
      <c r="J44"/>
      <c r="K44"/>
      <c r="N44"/>
      <c r="O44" s="70"/>
      <c r="P44" s="70"/>
      <c r="Q44"/>
      <c r="R44"/>
      <c r="S44" s="236"/>
      <c r="T44" s="236"/>
    </row>
    <row r="45" spans="1:22" x14ac:dyDescent="0.3">
      <c r="B45" s="70" t="s">
        <v>875</v>
      </c>
      <c r="C45" s="235"/>
      <c r="O45" s="70"/>
      <c r="P45" s="70"/>
      <c r="S45" s="236"/>
      <c r="T45" s="236"/>
    </row>
    <row r="46" spans="1:22" x14ac:dyDescent="0.3">
      <c r="B46" s="70" t="s">
        <v>876</v>
      </c>
      <c r="C46" s="271"/>
      <c r="O46" s="70"/>
      <c r="P46" s="70"/>
      <c r="S46" s="236"/>
      <c r="T46" s="236"/>
    </row>
    <row r="47" spans="1:22" x14ac:dyDescent="0.3">
      <c r="B47" s="70" t="s">
        <v>877</v>
      </c>
      <c r="C47" s="272"/>
    </row>
    <row r="48" spans="1:22" ht="15.75" customHeight="1" thickBo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 s="70"/>
      <c r="P48" s="70"/>
      <c r="Q48"/>
      <c r="R48"/>
      <c r="S48"/>
    </row>
    <row r="49" spans="1:22" ht="27.75" customHeight="1" thickTop="1" thickBot="1" x14ac:dyDescent="0.55000000000000004">
      <c r="A49" s="26" t="s">
        <v>118</v>
      </c>
      <c r="B49" s="27">
        <v>2011</v>
      </c>
      <c r="C49"/>
      <c r="D49"/>
      <c r="E49"/>
      <c r="F49"/>
      <c r="G49"/>
      <c r="H49"/>
      <c r="I49"/>
      <c r="J49"/>
      <c r="K49"/>
      <c r="L49"/>
      <c r="M49"/>
      <c r="N49"/>
      <c r="O49" s="70"/>
      <c r="P49" s="70"/>
      <c r="Q49"/>
      <c r="R49"/>
      <c r="S49"/>
    </row>
    <row r="50" spans="1:22" s="202" customFormat="1" ht="65.25" customHeight="1" thickTop="1" thickBot="1" x14ac:dyDescent="0.3">
      <c r="A50" s="58" t="s">
        <v>35</v>
      </c>
      <c r="B50" s="59" t="s">
        <v>41</v>
      </c>
      <c r="C50" s="59" t="s">
        <v>834</v>
      </c>
      <c r="D50" s="59" t="s">
        <v>835</v>
      </c>
      <c r="E50" s="59" t="s">
        <v>836</v>
      </c>
      <c r="F50" s="59" t="s">
        <v>144</v>
      </c>
      <c r="G50" s="59" t="s">
        <v>837</v>
      </c>
      <c r="H50" s="60" t="s">
        <v>842</v>
      </c>
      <c r="I50" s="60"/>
      <c r="J50" s="60" t="s">
        <v>878</v>
      </c>
      <c r="K50" s="60" t="s">
        <v>841</v>
      </c>
      <c r="L50" s="60" t="s">
        <v>842</v>
      </c>
      <c r="M50" s="60" t="s">
        <v>152</v>
      </c>
      <c r="N50" s="60" t="s">
        <v>158</v>
      </c>
      <c r="O50" s="237" t="s">
        <v>843</v>
      </c>
      <c r="P50" s="238" t="s">
        <v>844</v>
      </c>
      <c r="Q50" s="238" t="s">
        <v>845</v>
      </c>
      <c r="R50" s="239" t="s">
        <v>846</v>
      </c>
      <c r="S50" s="239" t="s">
        <v>847</v>
      </c>
      <c r="T50" s="240" t="s">
        <v>848</v>
      </c>
    </row>
    <row r="51" spans="1:22" x14ac:dyDescent="0.3">
      <c r="A51" s="241" t="s">
        <v>849</v>
      </c>
      <c r="B51" s="242"/>
      <c r="C51" s="243" t="s">
        <v>850</v>
      </c>
      <c r="D51" s="244"/>
      <c r="E51" s="245"/>
      <c r="F51" s="245"/>
      <c r="G51" s="245"/>
      <c r="H51" s="245"/>
      <c r="I51" s="245"/>
      <c r="J51" s="246"/>
      <c r="K51" s="61">
        <f t="shared" ref="K51:K60" si="18">IF(T51=TRUE,F51,0)</f>
        <v>0</v>
      </c>
      <c r="L51" s="62">
        <f t="shared" ref="L51:L60" si="19">IF(T51=TRUE,S51-R51,0)</f>
        <v>0</v>
      </c>
      <c r="M51" s="63">
        <f t="shared" ref="M51:M60" si="20">IF(T51=TRUE,G51/F51,0)</f>
        <v>0</v>
      </c>
      <c r="N51" s="63">
        <f t="shared" ref="N51:N60" si="21">IF(T51=TRUE,(G51*100000)/(F51*L51*C$71),0)</f>
        <v>0</v>
      </c>
      <c r="O51" s="247">
        <f t="shared" ref="O51:O60" si="22">IF(T51=TRUE,K51/K$61,0)</f>
        <v>0</v>
      </c>
      <c r="P51" s="248">
        <f t="shared" ref="P51:P60" si="23">M51*O51</f>
        <v>0</v>
      </c>
      <c r="Q51" s="248">
        <f t="shared" ref="Q51:Q60" si="24">N51*O51</f>
        <v>0</v>
      </c>
      <c r="R51" s="249">
        <f t="shared" ref="R51:R60" si="25">IF(J51&gt;1,J51,C$69+C$70)</f>
        <v>0</v>
      </c>
      <c r="S51" s="249">
        <f t="shared" ref="S51:S60" si="26">IF(I51&gt;1,I51,C$69+H51)</f>
        <v>0</v>
      </c>
      <c r="T51" s="250" t="b">
        <v>0</v>
      </c>
    </row>
    <row r="52" spans="1:22" x14ac:dyDescent="0.3">
      <c r="A52" s="251" t="s">
        <v>851</v>
      </c>
      <c r="B52" s="252"/>
      <c r="C52" s="253" t="s">
        <v>852</v>
      </c>
      <c r="D52" s="254"/>
      <c r="E52" s="255"/>
      <c r="F52" s="255"/>
      <c r="G52" s="255"/>
      <c r="H52" s="255"/>
      <c r="I52" s="255"/>
      <c r="J52" s="255"/>
      <c r="K52" s="62">
        <f t="shared" si="18"/>
        <v>0</v>
      </c>
      <c r="L52" s="62">
        <f t="shared" si="19"/>
        <v>0</v>
      </c>
      <c r="M52" s="63">
        <f t="shared" si="20"/>
        <v>0</v>
      </c>
      <c r="N52" s="63">
        <f t="shared" si="21"/>
        <v>0</v>
      </c>
      <c r="O52" s="247">
        <f t="shared" si="22"/>
        <v>0</v>
      </c>
      <c r="P52" s="248">
        <f t="shared" si="23"/>
        <v>0</v>
      </c>
      <c r="Q52" s="257">
        <f t="shared" si="24"/>
        <v>0</v>
      </c>
      <c r="R52" s="249">
        <f t="shared" si="25"/>
        <v>0</v>
      </c>
      <c r="S52" s="249">
        <f t="shared" si="26"/>
        <v>0</v>
      </c>
      <c r="T52" s="258" t="b">
        <v>0</v>
      </c>
    </row>
    <row r="53" spans="1:22" x14ac:dyDescent="0.3">
      <c r="A53" s="251" t="s">
        <v>853</v>
      </c>
      <c r="B53" s="252"/>
      <c r="C53" s="253" t="s">
        <v>854</v>
      </c>
      <c r="D53" s="254"/>
      <c r="E53" s="255"/>
      <c r="F53" s="255"/>
      <c r="G53" s="255"/>
      <c r="H53" s="255"/>
      <c r="I53" s="255"/>
      <c r="J53" s="255"/>
      <c r="K53" s="62">
        <f t="shared" si="18"/>
        <v>0</v>
      </c>
      <c r="L53" s="62">
        <f t="shared" si="19"/>
        <v>0</v>
      </c>
      <c r="M53" s="63">
        <f t="shared" si="20"/>
        <v>0</v>
      </c>
      <c r="N53" s="63">
        <f t="shared" si="21"/>
        <v>0</v>
      </c>
      <c r="O53" s="247">
        <f t="shared" si="22"/>
        <v>0</v>
      </c>
      <c r="P53" s="248">
        <f t="shared" si="23"/>
        <v>0</v>
      </c>
      <c r="Q53" s="257">
        <f t="shared" si="24"/>
        <v>0</v>
      </c>
      <c r="R53" s="249">
        <f t="shared" si="25"/>
        <v>0</v>
      </c>
      <c r="S53" s="249">
        <f t="shared" si="26"/>
        <v>0</v>
      </c>
      <c r="T53" s="258" t="b">
        <v>0</v>
      </c>
    </row>
    <row r="54" spans="1:22" x14ac:dyDescent="0.3">
      <c r="A54" s="251" t="s">
        <v>855</v>
      </c>
      <c r="B54" s="252"/>
      <c r="C54" s="253" t="s">
        <v>856</v>
      </c>
      <c r="D54" s="254"/>
      <c r="E54" s="255"/>
      <c r="F54" s="255"/>
      <c r="G54" s="255"/>
      <c r="H54" s="255"/>
      <c r="I54" s="255"/>
      <c r="J54" s="255"/>
      <c r="K54" s="62">
        <f t="shared" si="18"/>
        <v>0</v>
      </c>
      <c r="L54" s="62">
        <f t="shared" si="19"/>
        <v>0</v>
      </c>
      <c r="M54" s="63">
        <f t="shared" si="20"/>
        <v>0</v>
      </c>
      <c r="N54" s="63">
        <f t="shared" si="21"/>
        <v>0</v>
      </c>
      <c r="O54" s="247">
        <f t="shared" si="22"/>
        <v>0</v>
      </c>
      <c r="P54" s="248">
        <f t="shared" si="23"/>
        <v>0</v>
      </c>
      <c r="Q54" s="257">
        <f t="shared" si="24"/>
        <v>0</v>
      </c>
      <c r="R54" s="249">
        <f t="shared" si="25"/>
        <v>0</v>
      </c>
      <c r="S54" s="249">
        <f t="shared" si="26"/>
        <v>0</v>
      </c>
      <c r="T54" s="258" t="b">
        <v>0</v>
      </c>
    </row>
    <row r="55" spans="1:22" x14ac:dyDescent="0.3">
      <c r="A55" s="251" t="s">
        <v>857</v>
      </c>
      <c r="B55" s="252"/>
      <c r="C55" s="253" t="s">
        <v>858</v>
      </c>
      <c r="D55" s="254"/>
      <c r="E55" s="255"/>
      <c r="F55" s="255"/>
      <c r="G55" s="255"/>
      <c r="H55" s="255"/>
      <c r="I55" s="255"/>
      <c r="J55" s="255"/>
      <c r="K55" s="62">
        <f t="shared" si="18"/>
        <v>0</v>
      </c>
      <c r="L55" s="62">
        <f t="shared" si="19"/>
        <v>0</v>
      </c>
      <c r="M55" s="63">
        <f t="shared" si="20"/>
        <v>0</v>
      </c>
      <c r="N55" s="63">
        <f t="shared" si="21"/>
        <v>0</v>
      </c>
      <c r="O55" s="247">
        <f t="shared" si="22"/>
        <v>0</v>
      </c>
      <c r="P55" s="248">
        <f t="shared" si="23"/>
        <v>0</v>
      </c>
      <c r="Q55" s="257">
        <f t="shared" si="24"/>
        <v>0</v>
      </c>
      <c r="R55" s="249">
        <f t="shared" si="25"/>
        <v>0</v>
      </c>
      <c r="S55" s="249">
        <f t="shared" si="26"/>
        <v>0</v>
      </c>
      <c r="T55" s="258" t="b">
        <v>0</v>
      </c>
    </row>
    <row r="56" spans="1:22" x14ac:dyDescent="0.3">
      <c r="A56" s="251" t="s">
        <v>859</v>
      </c>
      <c r="B56" s="252"/>
      <c r="C56" s="253" t="s">
        <v>860</v>
      </c>
      <c r="D56" s="254"/>
      <c r="E56" s="255"/>
      <c r="F56" s="255"/>
      <c r="G56" s="255"/>
      <c r="H56" s="255"/>
      <c r="I56" s="255"/>
      <c r="J56" s="255"/>
      <c r="K56" s="62">
        <f t="shared" si="18"/>
        <v>0</v>
      </c>
      <c r="L56" s="62">
        <f t="shared" si="19"/>
        <v>0</v>
      </c>
      <c r="M56" s="63">
        <f t="shared" si="20"/>
        <v>0</v>
      </c>
      <c r="N56" s="63">
        <f t="shared" si="21"/>
        <v>0</v>
      </c>
      <c r="O56" s="247">
        <f t="shared" si="22"/>
        <v>0</v>
      </c>
      <c r="P56" s="248">
        <f t="shared" si="23"/>
        <v>0</v>
      </c>
      <c r="Q56" s="257">
        <f t="shared" si="24"/>
        <v>0</v>
      </c>
      <c r="R56" s="249">
        <f t="shared" si="25"/>
        <v>0</v>
      </c>
      <c r="S56" s="249">
        <f t="shared" si="26"/>
        <v>0</v>
      </c>
      <c r="T56" s="258" t="b">
        <v>0</v>
      </c>
    </row>
    <row r="57" spans="1:22" x14ac:dyDescent="0.3">
      <c r="A57" s="251" t="s">
        <v>861</v>
      </c>
      <c r="B57" s="252"/>
      <c r="C57" s="253" t="s">
        <v>862</v>
      </c>
      <c r="D57" s="254"/>
      <c r="E57" s="255"/>
      <c r="F57" s="255"/>
      <c r="G57" s="255"/>
      <c r="H57" s="255"/>
      <c r="I57" s="255"/>
      <c r="J57" s="255"/>
      <c r="K57" s="62">
        <f t="shared" si="18"/>
        <v>0</v>
      </c>
      <c r="L57" s="62">
        <f t="shared" si="19"/>
        <v>0</v>
      </c>
      <c r="M57" s="63">
        <f t="shared" si="20"/>
        <v>0</v>
      </c>
      <c r="N57" s="63">
        <f t="shared" si="21"/>
        <v>0</v>
      </c>
      <c r="O57" s="247">
        <f t="shared" si="22"/>
        <v>0</v>
      </c>
      <c r="P57" s="248">
        <f t="shared" si="23"/>
        <v>0</v>
      </c>
      <c r="Q57" s="257">
        <f t="shared" si="24"/>
        <v>0</v>
      </c>
      <c r="R57" s="249">
        <f t="shared" si="25"/>
        <v>0</v>
      </c>
      <c r="S57" s="249">
        <f t="shared" si="26"/>
        <v>0</v>
      </c>
      <c r="T57" s="258" t="b">
        <v>0</v>
      </c>
    </row>
    <row r="58" spans="1:22" x14ac:dyDescent="0.3">
      <c r="A58" s="251" t="s">
        <v>863</v>
      </c>
      <c r="B58" s="252"/>
      <c r="C58" s="253" t="s">
        <v>864</v>
      </c>
      <c r="D58" s="254"/>
      <c r="E58" s="255"/>
      <c r="F58" s="255"/>
      <c r="G58" s="255"/>
      <c r="H58" s="255"/>
      <c r="I58" s="255"/>
      <c r="J58" s="255"/>
      <c r="K58" s="62">
        <f t="shared" si="18"/>
        <v>0</v>
      </c>
      <c r="L58" s="62">
        <f t="shared" si="19"/>
        <v>0</v>
      </c>
      <c r="M58" s="63">
        <f t="shared" si="20"/>
        <v>0</v>
      </c>
      <c r="N58" s="63">
        <f t="shared" si="21"/>
        <v>0</v>
      </c>
      <c r="O58" s="247">
        <f t="shared" si="22"/>
        <v>0</v>
      </c>
      <c r="P58" s="248">
        <f t="shared" si="23"/>
        <v>0</v>
      </c>
      <c r="Q58" s="257">
        <f t="shared" si="24"/>
        <v>0</v>
      </c>
      <c r="R58" s="249">
        <f t="shared" si="25"/>
        <v>0</v>
      </c>
      <c r="S58" s="249">
        <f t="shared" si="26"/>
        <v>0</v>
      </c>
      <c r="T58" s="258" t="b">
        <v>0</v>
      </c>
    </row>
    <row r="59" spans="1:22" x14ac:dyDescent="0.3">
      <c r="A59" s="251" t="s">
        <v>865</v>
      </c>
      <c r="B59" s="252"/>
      <c r="C59" s="253" t="s">
        <v>866</v>
      </c>
      <c r="D59" s="254"/>
      <c r="E59" s="255"/>
      <c r="F59" s="255"/>
      <c r="G59" s="255"/>
      <c r="H59" s="255"/>
      <c r="I59" s="255"/>
      <c r="J59" s="255"/>
      <c r="K59" s="62">
        <f t="shared" si="18"/>
        <v>0</v>
      </c>
      <c r="L59" s="62">
        <f t="shared" si="19"/>
        <v>0</v>
      </c>
      <c r="M59" s="63">
        <f t="shared" si="20"/>
        <v>0</v>
      </c>
      <c r="N59" s="63">
        <f t="shared" si="21"/>
        <v>0</v>
      </c>
      <c r="O59" s="247">
        <f t="shared" si="22"/>
        <v>0</v>
      </c>
      <c r="P59" s="248">
        <f t="shared" si="23"/>
        <v>0</v>
      </c>
      <c r="Q59" s="257">
        <f t="shared" si="24"/>
        <v>0</v>
      </c>
      <c r="R59" s="249">
        <f t="shared" si="25"/>
        <v>0</v>
      </c>
      <c r="S59" s="249">
        <f t="shared" si="26"/>
        <v>0</v>
      </c>
      <c r="T59" s="258" t="b">
        <v>0</v>
      </c>
    </row>
    <row r="60" spans="1:22" ht="15.75" customHeight="1" thickBot="1" x14ac:dyDescent="0.35">
      <c r="A60" s="259" t="s">
        <v>867</v>
      </c>
      <c r="B60" s="260"/>
      <c r="C60" s="261" t="s">
        <v>868</v>
      </c>
      <c r="D60" s="262"/>
      <c r="E60" s="263"/>
      <c r="F60" s="263"/>
      <c r="G60" s="263"/>
      <c r="H60" s="263"/>
      <c r="I60" s="263"/>
      <c r="J60" s="263"/>
      <c r="K60" s="65">
        <f t="shared" si="18"/>
        <v>0</v>
      </c>
      <c r="L60" s="62">
        <f t="shared" si="19"/>
        <v>0</v>
      </c>
      <c r="M60" s="63">
        <f t="shared" si="20"/>
        <v>0</v>
      </c>
      <c r="N60" s="63">
        <f t="shared" si="21"/>
        <v>0</v>
      </c>
      <c r="O60" s="247">
        <f t="shared" si="22"/>
        <v>0</v>
      </c>
      <c r="P60" s="248">
        <f t="shared" si="23"/>
        <v>0</v>
      </c>
      <c r="Q60" s="265">
        <f t="shared" si="24"/>
        <v>0</v>
      </c>
      <c r="R60" s="249">
        <f t="shared" si="25"/>
        <v>0</v>
      </c>
      <c r="S60" s="249">
        <f t="shared" si="26"/>
        <v>0</v>
      </c>
      <c r="T60" s="266" t="b">
        <v>0</v>
      </c>
    </row>
    <row r="61" spans="1:22" s="273" customFormat="1" ht="15.75" customHeight="1" thickBot="1" x14ac:dyDescent="0.35">
      <c r="A61" s="23" t="s">
        <v>869</v>
      </c>
      <c r="B61" s="67"/>
      <c r="C61" s="24" t="s">
        <v>81</v>
      </c>
      <c r="D61" s="24"/>
      <c r="E61" s="24"/>
      <c r="F61" s="24">
        <f>SUBTOTAL(9,F51:F60)</f>
        <v>0</v>
      </c>
      <c r="G61" s="24">
        <f>SUBTOTAL(9,G51:G60)</f>
        <v>0</v>
      </c>
      <c r="H61" s="24"/>
      <c r="I61" s="24"/>
      <c r="J61" s="24"/>
      <c r="K61" s="24">
        <f>SUBTOTAL(9,K51:K60)</f>
        <v>0</v>
      </c>
      <c r="L61" s="24">
        <f>SUBTOTAL(9,L51:L60)</f>
        <v>0</v>
      </c>
      <c r="M61" s="68">
        <f>P61</f>
        <v>0</v>
      </c>
      <c r="N61" s="68">
        <f>Q61</f>
        <v>0</v>
      </c>
      <c r="O61" s="267">
        <f>SUBTOTAL(9,O51:O60)</f>
        <v>0</v>
      </c>
      <c r="P61" s="268">
        <f>SUBTOTAL(9,P51:P60)</f>
        <v>0</v>
      </c>
      <c r="Q61" s="268">
        <f>SUBTOTAL(9,Q51:Q60)</f>
        <v>0</v>
      </c>
      <c r="R61" s="269"/>
      <c r="S61" s="269"/>
      <c r="T61" s="270"/>
    </row>
    <row r="62" spans="1:22" ht="15.75" customHeight="1" thickTop="1" x14ac:dyDescent="0.3">
      <c r="A62" s="70" t="s">
        <v>870</v>
      </c>
      <c r="B62"/>
      <c r="C62"/>
      <c r="D62"/>
      <c r="E62"/>
      <c r="F62"/>
      <c r="G62"/>
      <c r="H62"/>
      <c r="I62"/>
      <c r="J62"/>
      <c r="K62"/>
      <c r="L62"/>
      <c r="M62"/>
      <c r="N62"/>
      <c r="O62" s="70"/>
      <c r="P62" s="70"/>
      <c r="Q62"/>
      <c r="R62"/>
      <c r="S62"/>
      <c r="U62" s="236"/>
      <c r="V62" s="236"/>
    </row>
    <row r="63" spans="1:22" x14ac:dyDescent="0.3">
      <c r="O63" s="70"/>
      <c r="P63" s="70"/>
      <c r="U63" s="236"/>
      <c r="V63" s="236"/>
    </row>
    <row r="64" spans="1:22" x14ac:dyDescent="0.3">
      <c r="B64" s="254" t="s">
        <v>871</v>
      </c>
      <c r="O64" s="70"/>
      <c r="P64" s="70"/>
      <c r="U64" s="236"/>
      <c r="V64" s="236"/>
    </row>
    <row r="65" spans="1:20" x14ac:dyDescent="0.3">
      <c r="B65" s="256" t="s">
        <v>872</v>
      </c>
      <c r="O65" s="70"/>
      <c r="P65" s="70"/>
      <c r="S65" s="236"/>
      <c r="T65" s="236"/>
    </row>
    <row r="66" spans="1:20" x14ac:dyDescent="0.3">
      <c r="B66" s="62" t="s">
        <v>873</v>
      </c>
      <c r="N66" s="187"/>
      <c r="O66" s="70"/>
      <c r="P66" s="70"/>
      <c r="S66" s="236"/>
      <c r="T66" s="236"/>
    </row>
    <row r="67" spans="1:20" x14ac:dyDescent="0.3">
      <c r="N67" s="187"/>
      <c r="O67" s="70"/>
      <c r="P67" s="70"/>
      <c r="S67" s="236"/>
      <c r="T67" s="236"/>
    </row>
    <row r="68" spans="1:20" ht="15.75" customHeight="1" thickBot="1" x14ac:dyDescent="0.35">
      <c r="A68"/>
      <c r="B68" s="25" t="s">
        <v>874</v>
      </c>
      <c r="C68" s="25"/>
      <c r="D68"/>
      <c r="E68"/>
      <c r="F68"/>
      <c r="G68"/>
      <c r="H68"/>
      <c r="I68"/>
      <c r="J68"/>
      <c r="K68"/>
      <c r="N68"/>
      <c r="O68" s="70"/>
      <c r="P68" s="70"/>
      <c r="Q68"/>
      <c r="R68"/>
      <c r="S68" s="236"/>
      <c r="T68" s="236"/>
    </row>
    <row r="69" spans="1:20" x14ac:dyDescent="0.3">
      <c r="B69" s="70" t="s">
        <v>875</v>
      </c>
      <c r="C69" s="235"/>
      <c r="O69" s="70"/>
      <c r="P69" s="70"/>
      <c r="S69" s="236"/>
      <c r="T69" s="236"/>
    </row>
    <row r="70" spans="1:20" x14ac:dyDescent="0.3">
      <c r="B70" s="70" t="s">
        <v>876</v>
      </c>
      <c r="C70" s="271"/>
      <c r="O70" s="70"/>
      <c r="P70" s="70"/>
      <c r="S70" s="236"/>
      <c r="T70" s="236"/>
    </row>
    <row r="71" spans="1:20" x14ac:dyDescent="0.3">
      <c r="B71" s="70" t="s">
        <v>877</v>
      </c>
      <c r="C71" s="272"/>
    </row>
    <row r="72" spans="1:20" ht="15.75" customHeight="1" thickBo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 s="70"/>
      <c r="P72" s="70"/>
      <c r="Q72"/>
      <c r="R72"/>
      <c r="S72"/>
    </row>
    <row r="73" spans="1:20" ht="27.75" customHeight="1" thickTop="1" thickBot="1" x14ac:dyDescent="0.55000000000000004">
      <c r="A73" s="26" t="s">
        <v>118</v>
      </c>
      <c r="B73" s="27">
        <v>2012</v>
      </c>
      <c r="C73"/>
      <c r="D73"/>
      <c r="E73"/>
      <c r="F73"/>
      <c r="G73"/>
      <c r="H73"/>
      <c r="I73"/>
      <c r="J73"/>
      <c r="K73"/>
      <c r="L73"/>
      <c r="M73"/>
      <c r="N73"/>
      <c r="O73" s="70"/>
      <c r="P73" s="70"/>
      <c r="Q73"/>
      <c r="R73"/>
      <c r="S73"/>
    </row>
    <row r="74" spans="1:20" s="202" customFormat="1" ht="65.25" customHeight="1" thickTop="1" thickBot="1" x14ac:dyDescent="0.3">
      <c r="A74" s="58" t="s">
        <v>35</v>
      </c>
      <c r="B74" s="59" t="s">
        <v>41</v>
      </c>
      <c r="C74" s="59" t="s">
        <v>834</v>
      </c>
      <c r="D74" s="59" t="s">
        <v>835</v>
      </c>
      <c r="E74" s="59" t="s">
        <v>836</v>
      </c>
      <c r="F74" s="59" t="s">
        <v>144</v>
      </c>
      <c r="G74" s="59" t="s">
        <v>837</v>
      </c>
      <c r="H74" s="60" t="s">
        <v>842</v>
      </c>
      <c r="I74" s="60"/>
      <c r="J74" s="60" t="s">
        <v>878</v>
      </c>
      <c r="K74" s="60" t="s">
        <v>841</v>
      </c>
      <c r="L74" s="60" t="s">
        <v>842</v>
      </c>
      <c r="M74" s="60" t="s">
        <v>152</v>
      </c>
      <c r="N74" s="60" t="s">
        <v>158</v>
      </c>
      <c r="O74" s="237" t="s">
        <v>843</v>
      </c>
      <c r="P74" s="238" t="s">
        <v>844</v>
      </c>
      <c r="Q74" s="238" t="s">
        <v>845</v>
      </c>
      <c r="R74" s="239" t="s">
        <v>846</v>
      </c>
      <c r="S74" s="239" t="s">
        <v>847</v>
      </c>
      <c r="T74" s="240" t="s">
        <v>848</v>
      </c>
    </row>
    <row r="75" spans="1:20" x14ac:dyDescent="0.3">
      <c r="A75" s="241" t="s">
        <v>849</v>
      </c>
      <c r="B75" s="242"/>
      <c r="C75" s="243" t="s">
        <v>850</v>
      </c>
      <c r="D75" s="244"/>
      <c r="E75" s="245"/>
      <c r="F75" s="245"/>
      <c r="G75" s="245"/>
      <c r="H75" s="245"/>
      <c r="I75" s="245"/>
      <c r="J75" s="246"/>
      <c r="K75" s="61">
        <f t="shared" ref="K75:K84" si="27">IF(T75=TRUE,F75,0)</f>
        <v>0</v>
      </c>
      <c r="L75" s="62">
        <f t="shared" ref="L75:L84" si="28">IF(T75=TRUE,S75-R75,0)</f>
        <v>0</v>
      </c>
      <c r="M75" s="63">
        <f t="shared" ref="M75:M84" si="29">IF(T75=TRUE,G75/F75,0)</f>
        <v>0</v>
      </c>
      <c r="N75" s="63">
        <f t="shared" ref="N75:N84" si="30">IF(T75=TRUE,(G75*100000)/(F75*L75*C$95),0)</f>
        <v>0</v>
      </c>
      <c r="O75" s="247">
        <f t="shared" ref="O75:O84" si="31">IF(T75=TRUE,K75/K$85,0)</f>
        <v>0</v>
      </c>
      <c r="P75" s="248">
        <f t="shared" ref="P75:P84" si="32">M75*O75</f>
        <v>0</v>
      </c>
      <c r="Q75" s="248">
        <f t="shared" ref="Q75:Q84" si="33">N75*O75</f>
        <v>0</v>
      </c>
      <c r="R75" s="249">
        <f t="shared" ref="R75:R84" si="34">IF(J75&gt;1,J75,C$93+C$94)</f>
        <v>0</v>
      </c>
      <c r="S75" s="249">
        <f t="shared" ref="S75:S84" si="35">IF(I75&gt;1,I75,C$93+H75)</f>
        <v>0</v>
      </c>
      <c r="T75" s="250" t="b">
        <v>0</v>
      </c>
    </row>
    <row r="76" spans="1:20" x14ac:dyDescent="0.3">
      <c r="A76" s="251" t="s">
        <v>851</v>
      </c>
      <c r="B76" s="252"/>
      <c r="C76" s="253" t="s">
        <v>852</v>
      </c>
      <c r="D76" s="254"/>
      <c r="E76" s="255"/>
      <c r="F76" s="255"/>
      <c r="G76" s="255"/>
      <c r="H76" s="255"/>
      <c r="I76" s="255"/>
      <c r="J76" s="255"/>
      <c r="K76" s="62">
        <f t="shared" si="27"/>
        <v>0</v>
      </c>
      <c r="L76" s="62">
        <f t="shared" si="28"/>
        <v>0</v>
      </c>
      <c r="M76" s="63">
        <f t="shared" si="29"/>
        <v>0</v>
      </c>
      <c r="N76" s="63">
        <f t="shared" si="30"/>
        <v>0</v>
      </c>
      <c r="O76" s="247">
        <f t="shared" si="31"/>
        <v>0</v>
      </c>
      <c r="P76" s="248">
        <f t="shared" si="32"/>
        <v>0</v>
      </c>
      <c r="Q76" s="257">
        <f t="shared" si="33"/>
        <v>0</v>
      </c>
      <c r="R76" s="249">
        <f t="shared" si="34"/>
        <v>0</v>
      </c>
      <c r="S76" s="249">
        <f t="shared" si="35"/>
        <v>0</v>
      </c>
      <c r="T76" s="258" t="b">
        <v>0</v>
      </c>
    </row>
    <row r="77" spans="1:20" x14ac:dyDescent="0.3">
      <c r="A77" s="251" t="s">
        <v>853</v>
      </c>
      <c r="B77" s="252"/>
      <c r="C77" s="253" t="s">
        <v>854</v>
      </c>
      <c r="D77" s="254"/>
      <c r="E77" s="255"/>
      <c r="F77" s="255"/>
      <c r="G77" s="255"/>
      <c r="H77" s="255"/>
      <c r="I77" s="255"/>
      <c r="J77" s="255"/>
      <c r="K77" s="62">
        <f t="shared" si="27"/>
        <v>0</v>
      </c>
      <c r="L77" s="62">
        <f t="shared" si="28"/>
        <v>0</v>
      </c>
      <c r="M77" s="63">
        <f t="shared" si="29"/>
        <v>0</v>
      </c>
      <c r="N77" s="63">
        <f t="shared" si="30"/>
        <v>0</v>
      </c>
      <c r="O77" s="247">
        <f t="shared" si="31"/>
        <v>0</v>
      </c>
      <c r="P77" s="248">
        <f t="shared" si="32"/>
        <v>0</v>
      </c>
      <c r="Q77" s="257">
        <f t="shared" si="33"/>
        <v>0</v>
      </c>
      <c r="R77" s="249">
        <f t="shared" si="34"/>
        <v>0</v>
      </c>
      <c r="S77" s="249">
        <f t="shared" si="35"/>
        <v>0</v>
      </c>
      <c r="T77" s="258" t="b">
        <v>0</v>
      </c>
    </row>
    <row r="78" spans="1:20" x14ac:dyDescent="0.3">
      <c r="A78" s="251" t="s">
        <v>855</v>
      </c>
      <c r="B78" s="252"/>
      <c r="C78" s="253" t="s">
        <v>856</v>
      </c>
      <c r="D78" s="254"/>
      <c r="E78" s="255"/>
      <c r="F78" s="255"/>
      <c r="G78" s="255"/>
      <c r="H78" s="255"/>
      <c r="I78" s="255"/>
      <c r="J78" s="255"/>
      <c r="K78" s="62">
        <f t="shared" si="27"/>
        <v>0</v>
      </c>
      <c r="L78" s="62">
        <f t="shared" si="28"/>
        <v>0</v>
      </c>
      <c r="M78" s="63">
        <f t="shared" si="29"/>
        <v>0</v>
      </c>
      <c r="N78" s="63">
        <f t="shared" si="30"/>
        <v>0</v>
      </c>
      <c r="O78" s="247">
        <f t="shared" si="31"/>
        <v>0</v>
      </c>
      <c r="P78" s="248">
        <f t="shared" si="32"/>
        <v>0</v>
      </c>
      <c r="Q78" s="257">
        <f t="shared" si="33"/>
        <v>0</v>
      </c>
      <c r="R78" s="249">
        <f t="shared" si="34"/>
        <v>0</v>
      </c>
      <c r="S78" s="249">
        <f t="shared" si="35"/>
        <v>0</v>
      </c>
      <c r="T78" s="258" t="b">
        <v>0</v>
      </c>
    </row>
    <row r="79" spans="1:20" x14ac:dyDescent="0.3">
      <c r="A79" s="251" t="s">
        <v>857</v>
      </c>
      <c r="B79" s="252"/>
      <c r="C79" s="253" t="s">
        <v>858</v>
      </c>
      <c r="D79" s="254"/>
      <c r="E79" s="255"/>
      <c r="F79" s="255"/>
      <c r="G79" s="255"/>
      <c r="H79" s="255"/>
      <c r="I79" s="255"/>
      <c r="J79" s="255"/>
      <c r="K79" s="62">
        <f t="shared" si="27"/>
        <v>0</v>
      </c>
      <c r="L79" s="62">
        <f t="shared" si="28"/>
        <v>0</v>
      </c>
      <c r="M79" s="63">
        <f t="shared" si="29"/>
        <v>0</v>
      </c>
      <c r="N79" s="63">
        <f t="shared" si="30"/>
        <v>0</v>
      </c>
      <c r="O79" s="247">
        <f t="shared" si="31"/>
        <v>0</v>
      </c>
      <c r="P79" s="248">
        <f t="shared" si="32"/>
        <v>0</v>
      </c>
      <c r="Q79" s="257">
        <f t="shared" si="33"/>
        <v>0</v>
      </c>
      <c r="R79" s="249">
        <f t="shared" si="34"/>
        <v>0</v>
      </c>
      <c r="S79" s="249">
        <f t="shared" si="35"/>
        <v>0</v>
      </c>
      <c r="T79" s="258" t="b">
        <v>0</v>
      </c>
    </row>
    <row r="80" spans="1:20" x14ac:dyDescent="0.3">
      <c r="A80" s="251" t="s">
        <v>859</v>
      </c>
      <c r="B80" s="252"/>
      <c r="C80" s="253" t="s">
        <v>860</v>
      </c>
      <c r="D80" s="254"/>
      <c r="E80" s="255"/>
      <c r="F80" s="255"/>
      <c r="G80" s="255"/>
      <c r="H80" s="255"/>
      <c r="I80" s="255"/>
      <c r="J80" s="255"/>
      <c r="K80" s="62">
        <f t="shared" si="27"/>
        <v>0</v>
      </c>
      <c r="L80" s="62">
        <f t="shared" si="28"/>
        <v>0</v>
      </c>
      <c r="M80" s="63">
        <f t="shared" si="29"/>
        <v>0</v>
      </c>
      <c r="N80" s="63">
        <f t="shared" si="30"/>
        <v>0</v>
      </c>
      <c r="O80" s="247">
        <f t="shared" si="31"/>
        <v>0</v>
      </c>
      <c r="P80" s="248">
        <f t="shared" si="32"/>
        <v>0</v>
      </c>
      <c r="Q80" s="257">
        <f t="shared" si="33"/>
        <v>0</v>
      </c>
      <c r="R80" s="249">
        <f t="shared" si="34"/>
        <v>0</v>
      </c>
      <c r="S80" s="249">
        <f t="shared" si="35"/>
        <v>0</v>
      </c>
      <c r="T80" s="258" t="b">
        <v>0</v>
      </c>
    </row>
    <row r="81" spans="1:22" x14ac:dyDescent="0.3">
      <c r="A81" s="251" t="s">
        <v>861</v>
      </c>
      <c r="B81" s="252"/>
      <c r="C81" s="253" t="s">
        <v>862</v>
      </c>
      <c r="D81" s="254"/>
      <c r="E81" s="255"/>
      <c r="F81" s="255"/>
      <c r="G81" s="255"/>
      <c r="H81" s="255"/>
      <c r="I81" s="255"/>
      <c r="J81" s="255"/>
      <c r="K81" s="62">
        <f t="shared" si="27"/>
        <v>0</v>
      </c>
      <c r="L81" s="62">
        <f t="shared" si="28"/>
        <v>0</v>
      </c>
      <c r="M81" s="63">
        <f t="shared" si="29"/>
        <v>0</v>
      </c>
      <c r="N81" s="63">
        <f t="shared" si="30"/>
        <v>0</v>
      </c>
      <c r="O81" s="247">
        <f t="shared" si="31"/>
        <v>0</v>
      </c>
      <c r="P81" s="248">
        <f t="shared" si="32"/>
        <v>0</v>
      </c>
      <c r="Q81" s="257">
        <f t="shared" si="33"/>
        <v>0</v>
      </c>
      <c r="R81" s="249">
        <f t="shared" si="34"/>
        <v>0</v>
      </c>
      <c r="S81" s="249">
        <f t="shared" si="35"/>
        <v>0</v>
      </c>
      <c r="T81" s="258" t="b">
        <v>0</v>
      </c>
    </row>
    <row r="82" spans="1:22" x14ac:dyDescent="0.3">
      <c r="A82" s="251" t="s">
        <v>863</v>
      </c>
      <c r="B82" s="252"/>
      <c r="C82" s="253" t="s">
        <v>864</v>
      </c>
      <c r="D82" s="254"/>
      <c r="E82" s="255"/>
      <c r="F82" s="255"/>
      <c r="G82" s="255"/>
      <c r="H82" s="255"/>
      <c r="I82" s="255"/>
      <c r="J82" s="255"/>
      <c r="K82" s="62">
        <f t="shared" si="27"/>
        <v>0</v>
      </c>
      <c r="L82" s="62">
        <f t="shared" si="28"/>
        <v>0</v>
      </c>
      <c r="M82" s="63">
        <f t="shared" si="29"/>
        <v>0</v>
      </c>
      <c r="N82" s="63">
        <f t="shared" si="30"/>
        <v>0</v>
      </c>
      <c r="O82" s="247">
        <f t="shared" si="31"/>
        <v>0</v>
      </c>
      <c r="P82" s="248">
        <f t="shared" si="32"/>
        <v>0</v>
      </c>
      <c r="Q82" s="257">
        <f t="shared" si="33"/>
        <v>0</v>
      </c>
      <c r="R82" s="249">
        <f t="shared" si="34"/>
        <v>0</v>
      </c>
      <c r="S82" s="249">
        <f t="shared" si="35"/>
        <v>0</v>
      </c>
      <c r="T82" s="258" t="b">
        <v>0</v>
      </c>
    </row>
    <row r="83" spans="1:22" x14ac:dyDescent="0.3">
      <c r="A83" s="251" t="s">
        <v>865</v>
      </c>
      <c r="B83" s="252"/>
      <c r="C83" s="253" t="s">
        <v>866</v>
      </c>
      <c r="D83" s="254"/>
      <c r="E83" s="255"/>
      <c r="F83" s="255"/>
      <c r="G83" s="255"/>
      <c r="H83" s="255"/>
      <c r="I83" s="255"/>
      <c r="J83" s="255"/>
      <c r="K83" s="62">
        <f t="shared" si="27"/>
        <v>0</v>
      </c>
      <c r="L83" s="62">
        <f t="shared" si="28"/>
        <v>0</v>
      </c>
      <c r="M83" s="63">
        <f t="shared" si="29"/>
        <v>0</v>
      </c>
      <c r="N83" s="63">
        <f t="shared" si="30"/>
        <v>0</v>
      </c>
      <c r="O83" s="247">
        <f t="shared" si="31"/>
        <v>0</v>
      </c>
      <c r="P83" s="248">
        <f t="shared" si="32"/>
        <v>0</v>
      </c>
      <c r="Q83" s="257">
        <f t="shared" si="33"/>
        <v>0</v>
      </c>
      <c r="R83" s="249">
        <f t="shared" si="34"/>
        <v>0</v>
      </c>
      <c r="S83" s="249">
        <f t="shared" si="35"/>
        <v>0</v>
      </c>
      <c r="T83" s="258" t="b">
        <v>0</v>
      </c>
    </row>
    <row r="84" spans="1:22" ht="15.75" customHeight="1" thickBot="1" x14ac:dyDescent="0.35">
      <c r="A84" s="259" t="s">
        <v>867</v>
      </c>
      <c r="B84" s="260"/>
      <c r="C84" s="261" t="s">
        <v>868</v>
      </c>
      <c r="D84" s="262"/>
      <c r="E84" s="263"/>
      <c r="F84" s="263"/>
      <c r="G84" s="263"/>
      <c r="H84" s="263"/>
      <c r="I84" s="263"/>
      <c r="J84" s="263"/>
      <c r="K84" s="65">
        <f t="shared" si="27"/>
        <v>0</v>
      </c>
      <c r="L84" s="62">
        <f t="shared" si="28"/>
        <v>0</v>
      </c>
      <c r="M84" s="63">
        <f t="shared" si="29"/>
        <v>0</v>
      </c>
      <c r="N84" s="63">
        <f t="shared" si="30"/>
        <v>0</v>
      </c>
      <c r="O84" s="247">
        <f t="shared" si="31"/>
        <v>0</v>
      </c>
      <c r="P84" s="248">
        <f t="shared" si="32"/>
        <v>0</v>
      </c>
      <c r="Q84" s="265">
        <f t="shared" si="33"/>
        <v>0</v>
      </c>
      <c r="R84" s="249">
        <f t="shared" si="34"/>
        <v>0</v>
      </c>
      <c r="S84" s="249">
        <f t="shared" si="35"/>
        <v>0</v>
      </c>
      <c r="T84" s="266" t="b">
        <v>0</v>
      </c>
    </row>
    <row r="85" spans="1:22" s="273" customFormat="1" ht="15.75" customHeight="1" thickBot="1" x14ac:dyDescent="0.35">
      <c r="A85" s="23" t="s">
        <v>869</v>
      </c>
      <c r="B85" s="67"/>
      <c r="C85" s="24" t="s">
        <v>81</v>
      </c>
      <c r="D85" s="24"/>
      <c r="E85" s="24"/>
      <c r="F85" s="24">
        <f>SUBTOTAL(9,F75:F84)</f>
        <v>0</v>
      </c>
      <c r="G85" s="24">
        <f>SUBTOTAL(9,G75:G84)</f>
        <v>0</v>
      </c>
      <c r="H85" s="24"/>
      <c r="I85" s="24"/>
      <c r="J85" s="24"/>
      <c r="K85" s="24">
        <f>SUBTOTAL(9,K75:K84)</f>
        <v>0</v>
      </c>
      <c r="L85" s="24">
        <f>SUBTOTAL(9,L75:L84)</f>
        <v>0</v>
      </c>
      <c r="M85" s="68">
        <f>P85</f>
        <v>0</v>
      </c>
      <c r="N85" s="68">
        <f>Q85</f>
        <v>0</v>
      </c>
      <c r="O85" s="267">
        <f>SUBTOTAL(9,O75:O84)</f>
        <v>0</v>
      </c>
      <c r="P85" s="268">
        <f>SUBTOTAL(9,P75:P84)</f>
        <v>0</v>
      </c>
      <c r="Q85" s="268">
        <f>SUBTOTAL(9,Q75:Q84)</f>
        <v>0</v>
      </c>
      <c r="R85" s="269"/>
      <c r="S85" s="269"/>
      <c r="T85" s="270"/>
    </row>
    <row r="86" spans="1:22" ht="15.75" customHeight="1" thickTop="1" x14ac:dyDescent="0.3">
      <c r="A86" s="70" t="s">
        <v>870</v>
      </c>
      <c r="B86"/>
      <c r="C86"/>
      <c r="D86"/>
      <c r="E86"/>
      <c r="F86"/>
      <c r="G86"/>
      <c r="H86"/>
      <c r="I86"/>
      <c r="J86"/>
      <c r="K86"/>
      <c r="L86"/>
      <c r="M86"/>
      <c r="N86"/>
      <c r="O86" s="70"/>
      <c r="P86" s="70"/>
      <c r="Q86"/>
      <c r="R86"/>
      <c r="S86"/>
      <c r="U86" s="236"/>
      <c r="V86" s="236"/>
    </row>
    <row r="87" spans="1:22" x14ac:dyDescent="0.3">
      <c r="O87" s="70"/>
      <c r="P87" s="70"/>
      <c r="U87" s="236"/>
      <c r="V87" s="236"/>
    </row>
    <row r="88" spans="1:22" x14ac:dyDescent="0.3">
      <c r="B88" s="254" t="s">
        <v>871</v>
      </c>
      <c r="O88" s="70"/>
      <c r="P88" s="70"/>
      <c r="U88" s="236"/>
      <c r="V88" s="236"/>
    </row>
    <row r="89" spans="1:22" x14ac:dyDescent="0.3">
      <c r="B89" s="256" t="s">
        <v>872</v>
      </c>
      <c r="O89" s="70"/>
      <c r="P89" s="70"/>
      <c r="S89" s="236"/>
      <c r="T89" s="236"/>
    </row>
    <row r="90" spans="1:22" x14ac:dyDescent="0.3">
      <c r="B90" s="62" t="s">
        <v>873</v>
      </c>
      <c r="N90" s="187"/>
      <c r="O90" s="70"/>
      <c r="P90" s="70"/>
      <c r="S90" s="236"/>
      <c r="T90" s="236"/>
    </row>
    <row r="91" spans="1:22" x14ac:dyDescent="0.3">
      <c r="N91" s="187"/>
      <c r="O91" s="70"/>
      <c r="P91" s="70"/>
      <c r="S91" s="236"/>
      <c r="T91" s="236"/>
    </row>
    <row r="92" spans="1:22" ht="15.75" customHeight="1" thickBot="1" x14ac:dyDescent="0.35">
      <c r="A92"/>
      <c r="B92" s="25" t="s">
        <v>874</v>
      </c>
      <c r="C92" s="25"/>
      <c r="D92"/>
      <c r="E92"/>
      <c r="F92"/>
      <c r="G92"/>
      <c r="H92"/>
      <c r="I92"/>
      <c r="J92"/>
      <c r="K92"/>
      <c r="N92"/>
      <c r="O92" s="70"/>
      <c r="P92" s="70"/>
      <c r="Q92"/>
      <c r="R92"/>
      <c r="S92" s="236"/>
      <c r="T92" s="236"/>
    </row>
    <row r="93" spans="1:22" x14ac:dyDescent="0.3">
      <c r="B93" s="70" t="s">
        <v>875</v>
      </c>
      <c r="C93" s="235"/>
      <c r="O93" s="70"/>
      <c r="P93" s="70"/>
      <c r="S93" s="236"/>
      <c r="T93" s="236"/>
    </row>
    <row r="94" spans="1:22" x14ac:dyDescent="0.3">
      <c r="B94" s="70" t="s">
        <v>876</v>
      </c>
      <c r="C94" s="271"/>
      <c r="O94" s="70"/>
      <c r="P94" s="70"/>
      <c r="S94" s="236"/>
      <c r="T94" s="236"/>
    </row>
    <row r="95" spans="1:22" x14ac:dyDescent="0.3">
      <c r="B95" s="70" t="s">
        <v>877</v>
      </c>
      <c r="C95" s="272"/>
    </row>
    <row r="96" spans="1:22" ht="15.75" customHeight="1" thickBo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 s="70"/>
      <c r="P96" s="70"/>
      <c r="Q96"/>
      <c r="R96"/>
      <c r="S96"/>
    </row>
    <row r="97" spans="1:22" ht="27.75" customHeight="1" thickTop="1" thickBot="1" x14ac:dyDescent="0.55000000000000004">
      <c r="A97" s="26" t="s">
        <v>118</v>
      </c>
      <c r="B97" s="27">
        <v>2013</v>
      </c>
      <c r="C97"/>
      <c r="D97"/>
      <c r="E97"/>
      <c r="F97"/>
      <c r="G97"/>
      <c r="H97"/>
      <c r="I97"/>
      <c r="J97"/>
      <c r="K97"/>
      <c r="L97"/>
      <c r="M97"/>
      <c r="N97"/>
      <c r="O97" s="70"/>
      <c r="P97" s="70"/>
      <c r="Q97"/>
      <c r="R97"/>
      <c r="S97"/>
    </row>
    <row r="98" spans="1:22" s="202" customFormat="1" ht="65.25" customHeight="1" thickTop="1" thickBot="1" x14ac:dyDescent="0.3">
      <c r="A98" s="58" t="s">
        <v>35</v>
      </c>
      <c r="B98" s="59" t="s">
        <v>41</v>
      </c>
      <c r="C98" s="59" t="s">
        <v>834</v>
      </c>
      <c r="D98" s="59" t="s">
        <v>835</v>
      </c>
      <c r="E98" s="59" t="s">
        <v>836</v>
      </c>
      <c r="F98" s="59" t="s">
        <v>144</v>
      </c>
      <c r="G98" s="59" t="s">
        <v>837</v>
      </c>
      <c r="H98" s="60" t="s">
        <v>842</v>
      </c>
      <c r="I98" s="60"/>
      <c r="J98" s="60" t="s">
        <v>878</v>
      </c>
      <c r="K98" s="60" t="s">
        <v>841</v>
      </c>
      <c r="L98" s="60" t="s">
        <v>842</v>
      </c>
      <c r="M98" s="60" t="s">
        <v>152</v>
      </c>
      <c r="N98" s="60" t="s">
        <v>158</v>
      </c>
      <c r="O98" s="237" t="s">
        <v>843</v>
      </c>
      <c r="P98" s="238" t="s">
        <v>844</v>
      </c>
      <c r="Q98" s="238" t="s">
        <v>845</v>
      </c>
      <c r="R98" s="239" t="s">
        <v>846</v>
      </c>
      <c r="S98" s="239" t="s">
        <v>847</v>
      </c>
      <c r="T98" s="240" t="s">
        <v>848</v>
      </c>
    </row>
    <row r="99" spans="1:22" x14ac:dyDescent="0.3">
      <c r="A99" s="241" t="s">
        <v>849</v>
      </c>
      <c r="B99" s="242"/>
      <c r="C99" s="243" t="s">
        <v>850</v>
      </c>
      <c r="D99" s="244"/>
      <c r="E99" s="245"/>
      <c r="F99" s="245"/>
      <c r="G99" s="245"/>
      <c r="H99" s="245"/>
      <c r="I99" s="245"/>
      <c r="J99" s="246"/>
      <c r="K99" s="61">
        <f t="shared" ref="K99:K108" si="36">IF(T99=TRUE,F99,0)</f>
        <v>0</v>
      </c>
      <c r="L99" s="62">
        <f t="shared" ref="L99:L108" si="37">IF(T99=TRUE,S99-R99,0)</f>
        <v>0</v>
      </c>
      <c r="M99" s="63">
        <f t="shared" ref="M99:M108" si="38">IF(T99=TRUE,G99/F99,0)</f>
        <v>0</v>
      </c>
      <c r="N99" s="63">
        <f t="shared" ref="N99:N108" si="39">IF(T99=TRUE,(G99*100000)/(F99*L99*C$119),0)</f>
        <v>0</v>
      </c>
      <c r="O99" s="247">
        <f t="shared" ref="O99:O108" si="40">IF(T99=TRUE,K99/K$109,0)</f>
        <v>0</v>
      </c>
      <c r="P99" s="248">
        <f t="shared" ref="P99:P108" si="41">M99*O99</f>
        <v>0</v>
      </c>
      <c r="Q99" s="248">
        <f t="shared" ref="Q99:Q108" si="42">N99*O99</f>
        <v>0</v>
      </c>
      <c r="R99" s="249">
        <f t="shared" ref="R99:R108" si="43">IF(J99&gt;1,J99,C$117+C$118)</f>
        <v>0</v>
      </c>
      <c r="S99" s="249">
        <f t="shared" ref="S99:S108" si="44">IF(I99&gt;1,I99,C$117+H99)</f>
        <v>0</v>
      </c>
      <c r="T99" s="250" t="b">
        <v>0</v>
      </c>
    </row>
    <row r="100" spans="1:22" x14ac:dyDescent="0.3">
      <c r="A100" s="251" t="s">
        <v>851</v>
      </c>
      <c r="B100" s="252"/>
      <c r="C100" s="253" t="s">
        <v>852</v>
      </c>
      <c r="D100" s="254"/>
      <c r="E100" s="255"/>
      <c r="F100" s="255"/>
      <c r="G100" s="255"/>
      <c r="H100" s="255"/>
      <c r="I100" s="255"/>
      <c r="J100" s="255"/>
      <c r="K100" s="62">
        <f t="shared" si="36"/>
        <v>0</v>
      </c>
      <c r="L100" s="62">
        <f t="shared" si="37"/>
        <v>0</v>
      </c>
      <c r="M100" s="63">
        <f t="shared" si="38"/>
        <v>0</v>
      </c>
      <c r="N100" s="63">
        <f t="shared" si="39"/>
        <v>0</v>
      </c>
      <c r="O100" s="247">
        <f t="shared" si="40"/>
        <v>0</v>
      </c>
      <c r="P100" s="248">
        <f t="shared" si="41"/>
        <v>0</v>
      </c>
      <c r="Q100" s="257">
        <f t="shared" si="42"/>
        <v>0</v>
      </c>
      <c r="R100" s="249">
        <f t="shared" si="43"/>
        <v>0</v>
      </c>
      <c r="S100" s="249">
        <f t="shared" si="44"/>
        <v>0</v>
      </c>
      <c r="T100" s="258" t="b">
        <v>0</v>
      </c>
    </row>
    <row r="101" spans="1:22" x14ac:dyDescent="0.3">
      <c r="A101" s="251" t="s">
        <v>853</v>
      </c>
      <c r="B101" s="252"/>
      <c r="C101" s="253" t="s">
        <v>854</v>
      </c>
      <c r="D101" s="254"/>
      <c r="E101" s="255"/>
      <c r="F101" s="255"/>
      <c r="G101" s="255"/>
      <c r="H101" s="255"/>
      <c r="I101" s="255"/>
      <c r="J101" s="255"/>
      <c r="K101" s="62">
        <f t="shared" si="36"/>
        <v>0</v>
      </c>
      <c r="L101" s="62">
        <f t="shared" si="37"/>
        <v>0</v>
      </c>
      <c r="M101" s="63">
        <f t="shared" si="38"/>
        <v>0</v>
      </c>
      <c r="N101" s="63">
        <f t="shared" si="39"/>
        <v>0</v>
      </c>
      <c r="O101" s="247">
        <f t="shared" si="40"/>
        <v>0</v>
      </c>
      <c r="P101" s="248">
        <f t="shared" si="41"/>
        <v>0</v>
      </c>
      <c r="Q101" s="257">
        <f t="shared" si="42"/>
        <v>0</v>
      </c>
      <c r="R101" s="249">
        <f t="shared" si="43"/>
        <v>0</v>
      </c>
      <c r="S101" s="249">
        <f t="shared" si="44"/>
        <v>0</v>
      </c>
      <c r="T101" s="258" t="b">
        <v>0</v>
      </c>
    </row>
    <row r="102" spans="1:22" x14ac:dyDescent="0.3">
      <c r="A102" s="251" t="s">
        <v>855</v>
      </c>
      <c r="B102" s="252"/>
      <c r="C102" s="253" t="s">
        <v>856</v>
      </c>
      <c r="D102" s="254"/>
      <c r="E102" s="255"/>
      <c r="F102" s="255"/>
      <c r="G102" s="255"/>
      <c r="H102" s="255"/>
      <c r="I102" s="255"/>
      <c r="J102" s="255"/>
      <c r="K102" s="62">
        <f t="shared" si="36"/>
        <v>0</v>
      </c>
      <c r="L102" s="62">
        <f t="shared" si="37"/>
        <v>0</v>
      </c>
      <c r="M102" s="63">
        <f t="shared" si="38"/>
        <v>0</v>
      </c>
      <c r="N102" s="63">
        <f t="shared" si="39"/>
        <v>0</v>
      </c>
      <c r="O102" s="247">
        <f t="shared" si="40"/>
        <v>0</v>
      </c>
      <c r="P102" s="248">
        <f t="shared" si="41"/>
        <v>0</v>
      </c>
      <c r="Q102" s="257">
        <f t="shared" si="42"/>
        <v>0</v>
      </c>
      <c r="R102" s="249">
        <f t="shared" si="43"/>
        <v>0</v>
      </c>
      <c r="S102" s="249">
        <f t="shared" si="44"/>
        <v>0</v>
      </c>
      <c r="T102" s="258" t="b">
        <v>0</v>
      </c>
    </row>
    <row r="103" spans="1:22" x14ac:dyDescent="0.3">
      <c r="A103" s="251" t="s">
        <v>857</v>
      </c>
      <c r="B103" s="252"/>
      <c r="C103" s="253" t="s">
        <v>858</v>
      </c>
      <c r="D103" s="254"/>
      <c r="E103" s="255"/>
      <c r="F103" s="255"/>
      <c r="G103" s="255"/>
      <c r="H103" s="255"/>
      <c r="I103" s="255"/>
      <c r="J103" s="255"/>
      <c r="K103" s="62">
        <f t="shared" si="36"/>
        <v>0</v>
      </c>
      <c r="L103" s="62">
        <f t="shared" si="37"/>
        <v>0</v>
      </c>
      <c r="M103" s="63">
        <f t="shared" si="38"/>
        <v>0</v>
      </c>
      <c r="N103" s="63">
        <f t="shared" si="39"/>
        <v>0</v>
      </c>
      <c r="O103" s="247">
        <f t="shared" si="40"/>
        <v>0</v>
      </c>
      <c r="P103" s="248">
        <f t="shared" si="41"/>
        <v>0</v>
      </c>
      <c r="Q103" s="257">
        <f t="shared" si="42"/>
        <v>0</v>
      </c>
      <c r="R103" s="249">
        <f t="shared" si="43"/>
        <v>0</v>
      </c>
      <c r="S103" s="249">
        <f t="shared" si="44"/>
        <v>0</v>
      </c>
      <c r="T103" s="258" t="b">
        <v>0</v>
      </c>
    </row>
    <row r="104" spans="1:22" x14ac:dyDescent="0.3">
      <c r="A104" s="251" t="s">
        <v>859</v>
      </c>
      <c r="B104" s="252"/>
      <c r="C104" s="253" t="s">
        <v>860</v>
      </c>
      <c r="D104" s="254"/>
      <c r="E104" s="255"/>
      <c r="F104" s="255"/>
      <c r="G104" s="255"/>
      <c r="H104" s="255"/>
      <c r="I104" s="255"/>
      <c r="J104" s="255"/>
      <c r="K104" s="62">
        <f t="shared" si="36"/>
        <v>0</v>
      </c>
      <c r="L104" s="62">
        <f t="shared" si="37"/>
        <v>0</v>
      </c>
      <c r="M104" s="63">
        <f t="shared" si="38"/>
        <v>0</v>
      </c>
      <c r="N104" s="63">
        <f t="shared" si="39"/>
        <v>0</v>
      </c>
      <c r="O104" s="247">
        <f t="shared" si="40"/>
        <v>0</v>
      </c>
      <c r="P104" s="248">
        <f t="shared" si="41"/>
        <v>0</v>
      </c>
      <c r="Q104" s="257">
        <f t="shared" si="42"/>
        <v>0</v>
      </c>
      <c r="R104" s="249">
        <f t="shared" si="43"/>
        <v>0</v>
      </c>
      <c r="S104" s="249">
        <f t="shared" si="44"/>
        <v>0</v>
      </c>
      <c r="T104" s="258" t="b">
        <v>0</v>
      </c>
    </row>
    <row r="105" spans="1:22" x14ac:dyDescent="0.3">
      <c r="A105" s="251" t="s">
        <v>861</v>
      </c>
      <c r="B105" s="252"/>
      <c r="C105" s="253" t="s">
        <v>862</v>
      </c>
      <c r="D105" s="254"/>
      <c r="E105" s="255"/>
      <c r="F105" s="255"/>
      <c r="G105" s="255"/>
      <c r="H105" s="255"/>
      <c r="I105" s="255"/>
      <c r="J105" s="255"/>
      <c r="K105" s="62">
        <f t="shared" si="36"/>
        <v>0</v>
      </c>
      <c r="L105" s="62">
        <f t="shared" si="37"/>
        <v>0</v>
      </c>
      <c r="M105" s="63">
        <f t="shared" si="38"/>
        <v>0</v>
      </c>
      <c r="N105" s="63">
        <f t="shared" si="39"/>
        <v>0</v>
      </c>
      <c r="O105" s="247">
        <f t="shared" si="40"/>
        <v>0</v>
      </c>
      <c r="P105" s="248">
        <f t="shared" si="41"/>
        <v>0</v>
      </c>
      <c r="Q105" s="257">
        <f t="shared" si="42"/>
        <v>0</v>
      </c>
      <c r="R105" s="249">
        <f t="shared" si="43"/>
        <v>0</v>
      </c>
      <c r="S105" s="249">
        <f t="shared" si="44"/>
        <v>0</v>
      </c>
      <c r="T105" s="258" t="b">
        <v>0</v>
      </c>
    </row>
    <row r="106" spans="1:22" x14ac:dyDescent="0.3">
      <c r="A106" s="251" t="s">
        <v>863</v>
      </c>
      <c r="B106" s="252"/>
      <c r="C106" s="253" t="s">
        <v>864</v>
      </c>
      <c r="D106" s="254"/>
      <c r="E106" s="255"/>
      <c r="F106" s="255"/>
      <c r="G106" s="255"/>
      <c r="H106" s="255"/>
      <c r="I106" s="255"/>
      <c r="J106" s="255"/>
      <c r="K106" s="62">
        <f t="shared" si="36"/>
        <v>0</v>
      </c>
      <c r="L106" s="62">
        <f t="shared" si="37"/>
        <v>0</v>
      </c>
      <c r="M106" s="63">
        <f t="shared" si="38"/>
        <v>0</v>
      </c>
      <c r="N106" s="63">
        <f t="shared" si="39"/>
        <v>0</v>
      </c>
      <c r="O106" s="247">
        <f t="shared" si="40"/>
        <v>0</v>
      </c>
      <c r="P106" s="248">
        <f t="shared" si="41"/>
        <v>0</v>
      </c>
      <c r="Q106" s="257">
        <f t="shared" si="42"/>
        <v>0</v>
      </c>
      <c r="R106" s="249">
        <f t="shared" si="43"/>
        <v>0</v>
      </c>
      <c r="S106" s="249">
        <f t="shared" si="44"/>
        <v>0</v>
      </c>
      <c r="T106" s="258" t="b">
        <v>0</v>
      </c>
    </row>
    <row r="107" spans="1:22" x14ac:dyDescent="0.3">
      <c r="A107" s="251" t="s">
        <v>865</v>
      </c>
      <c r="B107" s="252"/>
      <c r="C107" s="253" t="s">
        <v>866</v>
      </c>
      <c r="D107" s="254"/>
      <c r="E107" s="255"/>
      <c r="F107" s="255"/>
      <c r="G107" s="255"/>
      <c r="H107" s="255"/>
      <c r="I107" s="255"/>
      <c r="J107" s="255"/>
      <c r="K107" s="62">
        <f t="shared" si="36"/>
        <v>0</v>
      </c>
      <c r="L107" s="62">
        <f t="shared" si="37"/>
        <v>0</v>
      </c>
      <c r="M107" s="63">
        <f t="shared" si="38"/>
        <v>0</v>
      </c>
      <c r="N107" s="63">
        <f t="shared" si="39"/>
        <v>0</v>
      </c>
      <c r="O107" s="247">
        <f t="shared" si="40"/>
        <v>0</v>
      </c>
      <c r="P107" s="248">
        <f t="shared" si="41"/>
        <v>0</v>
      </c>
      <c r="Q107" s="257">
        <f t="shared" si="42"/>
        <v>0</v>
      </c>
      <c r="R107" s="249">
        <f t="shared" si="43"/>
        <v>0</v>
      </c>
      <c r="S107" s="249">
        <f t="shared" si="44"/>
        <v>0</v>
      </c>
      <c r="T107" s="258" t="b">
        <v>0</v>
      </c>
    </row>
    <row r="108" spans="1:22" ht="15.75" customHeight="1" thickBot="1" x14ac:dyDescent="0.35">
      <c r="A108" s="259" t="s">
        <v>867</v>
      </c>
      <c r="B108" s="260"/>
      <c r="C108" s="261" t="s">
        <v>868</v>
      </c>
      <c r="D108" s="262"/>
      <c r="E108" s="263"/>
      <c r="F108" s="263"/>
      <c r="G108" s="263"/>
      <c r="H108" s="263"/>
      <c r="I108" s="263"/>
      <c r="J108" s="263"/>
      <c r="K108" s="65">
        <f t="shared" si="36"/>
        <v>0</v>
      </c>
      <c r="L108" s="62">
        <f t="shared" si="37"/>
        <v>0</v>
      </c>
      <c r="M108" s="63">
        <f t="shared" si="38"/>
        <v>0</v>
      </c>
      <c r="N108" s="63">
        <f t="shared" si="39"/>
        <v>0</v>
      </c>
      <c r="O108" s="247">
        <f t="shared" si="40"/>
        <v>0</v>
      </c>
      <c r="P108" s="248">
        <f t="shared" si="41"/>
        <v>0</v>
      </c>
      <c r="Q108" s="265">
        <f t="shared" si="42"/>
        <v>0</v>
      </c>
      <c r="R108" s="249">
        <f t="shared" si="43"/>
        <v>0</v>
      </c>
      <c r="S108" s="249">
        <f t="shared" si="44"/>
        <v>0</v>
      </c>
      <c r="T108" s="266" t="b">
        <v>0</v>
      </c>
    </row>
    <row r="109" spans="1:22" s="273" customFormat="1" ht="15.75" customHeight="1" thickBot="1" x14ac:dyDescent="0.35">
      <c r="A109" s="23" t="s">
        <v>869</v>
      </c>
      <c r="B109" s="67"/>
      <c r="C109" s="24" t="s">
        <v>81</v>
      </c>
      <c r="D109" s="24"/>
      <c r="E109" s="24"/>
      <c r="F109" s="24">
        <f>SUBTOTAL(9,F99:F108)</f>
        <v>0</v>
      </c>
      <c r="G109" s="24">
        <f>SUBTOTAL(9,G99:G108)</f>
        <v>0</v>
      </c>
      <c r="H109" s="24"/>
      <c r="I109" s="24"/>
      <c r="J109" s="24"/>
      <c r="K109" s="24">
        <f>SUBTOTAL(9,K99:K108)</f>
        <v>0</v>
      </c>
      <c r="L109" s="24">
        <f>SUBTOTAL(9,L99:L108)</f>
        <v>0</v>
      </c>
      <c r="M109" s="68">
        <f>P109</f>
        <v>0</v>
      </c>
      <c r="N109" s="68">
        <f>Q109</f>
        <v>0</v>
      </c>
      <c r="O109" s="267">
        <f>SUBTOTAL(9,O99:O108)</f>
        <v>0</v>
      </c>
      <c r="P109" s="268">
        <f>SUBTOTAL(9,P99:P108)</f>
        <v>0</v>
      </c>
      <c r="Q109" s="268">
        <f>SUBTOTAL(9,Q99:Q108)</f>
        <v>0</v>
      </c>
      <c r="R109" s="269"/>
      <c r="S109" s="269"/>
      <c r="T109" s="270"/>
    </row>
    <row r="110" spans="1:22" ht="15.75" customHeight="1" thickTop="1" x14ac:dyDescent="0.3">
      <c r="A110" s="70" t="s">
        <v>870</v>
      </c>
      <c r="B110"/>
      <c r="C110"/>
      <c r="D110"/>
      <c r="E110"/>
      <c r="F110"/>
      <c r="G110"/>
      <c r="H110"/>
      <c r="I110"/>
      <c r="J110"/>
      <c r="K110"/>
      <c r="L110"/>
      <c r="M110"/>
      <c r="N110"/>
      <c r="O110" s="70"/>
      <c r="P110" s="70"/>
      <c r="Q110"/>
      <c r="R110"/>
      <c r="S110"/>
      <c r="U110" s="236"/>
      <c r="V110" s="236"/>
    </row>
    <row r="111" spans="1:22" x14ac:dyDescent="0.3">
      <c r="O111" s="70"/>
      <c r="P111" s="70"/>
      <c r="U111" s="236"/>
      <c r="V111" s="236"/>
    </row>
    <row r="112" spans="1:22" x14ac:dyDescent="0.3">
      <c r="B112" s="254" t="s">
        <v>871</v>
      </c>
      <c r="O112" s="70"/>
      <c r="P112" s="70"/>
      <c r="U112" s="236"/>
      <c r="V112" s="236"/>
    </row>
    <row r="113" spans="1:20" x14ac:dyDescent="0.3">
      <c r="B113" s="256" t="s">
        <v>872</v>
      </c>
      <c r="O113" s="70"/>
      <c r="P113" s="70"/>
      <c r="S113" s="236"/>
      <c r="T113" s="236"/>
    </row>
    <row r="114" spans="1:20" x14ac:dyDescent="0.3">
      <c r="B114" s="62" t="s">
        <v>873</v>
      </c>
      <c r="N114" s="187"/>
      <c r="O114" s="70"/>
      <c r="P114" s="70"/>
      <c r="S114" s="236"/>
      <c r="T114" s="236"/>
    </row>
    <row r="115" spans="1:20" x14ac:dyDescent="0.3">
      <c r="N115" s="187"/>
      <c r="O115" s="70"/>
      <c r="P115" s="70"/>
      <c r="S115" s="236"/>
      <c r="T115" s="236"/>
    </row>
    <row r="116" spans="1:20" ht="15.75" customHeight="1" thickBot="1" x14ac:dyDescent="0.35">
      <c r="A116"/>
      <c r="B116" s="25" t="s">
        <v>874</v>
      </c>
      <c r="C116" s="25"/>
      <c r="D116"/>
      <c r="E116"/>
      <c r="F116"/>
      <c r="G116"/>
      <c r="H116"/>
      <c r="I116"/>
      <c r="J116"/>
      <c r="K116"/>
      <c r="N116"/>
      <c r="O116" s="70"/>
      <c r="P116" s="70"/>
      <c r="Q116"/>
      <c r="R116"/>
      <c r="S116" s="236"/>
      <c r="T116" s="236"/>
    </row>
    <row r="117" spans="1:20" x14ac:dyDescent="0.3">
      <c r="B117" s="70" t="s">
        <v>875</v>
      </c>
      <c r="C117" s="235"/>
      <c r="O117" s="70"/>
      <c r="P117" s="70"/>
      <c r="S117" s="236"/>
      <c r="T117" s="236"/>
    </row>
    <row r="118" spans="1:20" x14ac:dyDescent="0.3">
      <c r="B118" s="70" t="s">
        <v>876</v>
      </c>
      <c r="C118" s="271"/>
      <c r="O118" s="70"/>
      <c r="P118" s="70"/>
      <c r="S118" s="236"/>
      <c r="T118" s="236"/>
    </row>
    <row r="119" spans="1:20" x14ac:dyDescent="0.3">
      <c r="B119" s="70" t="s">
        <v>877</v>
      </c>
      <c r="C119" s="272"/>
    </row>
    <row r="120" spans="1:20" ht="15.75" customHeight="1" thickBo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 s="70"/>
      <c r="P120" s="70"/>
      <c r="Q120"/>
      <c r="R120"/>
      <c r="S120"/>
    </row>
    <row r="121" spans="1:20" ht="27.75" customHeight="1" thickTop="1" thickBot="1" x14ac:dyDescent="0.55000000000000004">
      <c r="A121" s="26" t="s">
        <v>118</v>
      </c>
      <c r="B121" s="27">
        <v>2014</v>
      </c>
      <c r="C121"/>
      <c r="D121"/>
      <c r="E121"/>
      <c r="F121"/>
      <c r="G121"/>
      <c r="H121"/>
      <c r="I121"/>
      <c r="J121"/>
      <c r="K121"/>
      <c r="L121"/>
      <c r="M121"/>
      <c r="N121"/>
      <c r="O121" s="70"/>
      <c r="P121" s="70"/>
      <c r="Q121"/>
      <c r="R121"/>
      <c r="S121"/>
    </row>
    <row r="122" spans="1:20" s="202" customFormat="1" ht="65.25" customHeight="1" thickTop="1" thickBot="1" x14ac:dyDescent="0.3">
      <c r="A122" s="58" t="s">
        <v>35</v>
      </c>
      <c r="B122" s="59" t="s">
        <v>41</v>
      </c>
      <c r="C122" s="59" t="s">
        <v>834</v>
      </c>
      <c r="D122" s="59" t="s">
        <v>835</v>
      </c>
      <c r="E122" s="59" t="s">
        <v>836</v>
      </c>
      <c r="F122" s="59" t="s">
        <v>144</v>
      </c>
      <c r="G122" s="59" t="s">
        <v>837</v>
      </c>
      <c r="H122" s="60" t="s">
        <v>842</v>
      </c>
      <c r="I122" s="60"/>
      <c r="J122" s="60" t="s">
        <v>878</v>
      </c>
      <c r="K122" s="60" t="s">
        <v>841</v>
      </c>
      <c r="L122" s="60" t="s">
        <v>842</v>
      </c>
      <c r="M122" s="60" t="s">
        <v>152</v>
      </c>
      <c r="N122" s="60" t="s">
        <v>158</v>
      </c>
      <c r="O122" s="237" t="s">
        <v>843</v>
      </c>
      <c r="P122" s="238" t="s">
        <v>844</v>
      </c>
      <c r="Q122" s="238" t="s">
        <v>845</v>
      </c>
      <c r="R122" s="239" t="s">
        <v>846</v>
      </c>
      <c r="S122" s="239" t="s">
        <v>847</v>
      </c>
      <c r="T122" s="240" t="s">
        <v>848</v>
      </c>
    </row>
    <row r="123" spans="1:20" x14ac:dyDescent="0.3">
      <c r="A123" s="241" t="s">
        <v>849</v>
      </c>
      <c r="B123" s="242"/>
      <c r="C123" s="243" t="s">
        <v>850</v>
      </c>
      <c r="D123" s="244"/>
      <c r="E123" s="245"/>
      <c r="F123" s="245"/>
      <c r="G123" s="245"/>
      <c r="H123" s="245"/>
      <c r="I123" s="245"/>
      <c r="J123" s="246"/>
      <c r="K123" s="61">
        <f t="shared" ref="K123:K132" si="45">IF(T123=TRUE,F123,0)</f>
        <v>0</v>
      </c>
      <c r="L123" s="62">
        <f t="shared" ref="L123:L132" si="46">IF(T123=TRUE,S123-R123,0)</f>
        <v>0</v>
      </c>
      <c r="M123" s="63">
        <f t="shared" ref="M123:M132" si="47">IF(T123=TRUE,G123/F123,0)</f>
        <v>0</v>
      </c>
      <c r="N123" s="63">
        <f t="shared" ref="N123:N132" si="48">IF(T123=TRUE,(G123*100000)/(F123*L123*C$143),0)</f>
        <v>0</v>
      </c>
      <c r="O123" s="247">
        <f t="shared" ref="O123:O132" si="49">IF(T123=TRUE,K123/K$133,0)</f>
        <v>0</v>
      </c>
      <c r="P123" s="248">
        <f t="shared" ref="P123:P132" si="50">M123*O123</f>
        <v>0</v>
      </c>
      <c r="Q123" s="248">
        <f t="shared" ref="Q123:Q132" si="51">N123*O123</f>
        <v>0</v>
      </c>
      <c r="R123" s="249">
        <f t="shared" ref="R123:R132" si="52">IF(J123&gt;1,J123,C$141+C$142)</f>
        <v>0</v>
      </c>
      <c r="S123" s="249">
        <f t="shared" ref="S123:S132" si="53">IF(I123&gt;1,I123,C$141+H123)</f>
        <v>0</v>
      </c>
      <c r="T123" s="250" t="b">
        <v>0</v>
      </c>
    </row>
    <row r="124" spans="1:20" x14ac:dyDescent="0.3">
      <c r="A124" s="251" t="s">
        <v>851</v>
      </c>
      <c r="B124" s="252"/>
      <c r="C124" s="253" t="s">
        <v>852</v>
      </c>
      <c r="D124" s="254"/>
      <c r="E124" s="255"/>
      <c r="F124" s="255"/>
      <c r="G124" s="255"/>
      <c r="H124" s="255"/>
      <c r="I124" s="255"/>
      <c r="J124" s="255"/>
      <c r="K124" s="62">
        <f t="shared" si="45"/>
        <v>0</v>
      </c>
      <c r="L124" s="62">
        <f t="shared" si="46"/>
        <v>0</v>
      </c>
      <c r="M124" s="63">
        <f t="shared" si="47"/>
        <v>0</v>
      </c>
      <c r="N124" s="63">
        <f t="shared" si="48"/>
        <v>0</v>
      </c>
      <c r="O124" s="247">
        <f t="shared" si="49"/>
        <v>0</v>
      </c>
      <c r="P124" s="248">
        <f t="shared" si="50"/>
        <v>0</v>
      </c>
      <c r="Q124" s="257">
        <f t="shared" si="51"/>
        <v>0</v>
      </c>
      <c r="R124" s="249">
        <f t="shared" si="52"/>
        <v>0</v>
      </c>
      <c r="S124" s="249">
        <f t="shared" si="53"/>
        <v>0</v>
      </c>
      <c r="T124" s="258" t="b">
        <v>0</v>
      </c>
    </row>
    <row r="125" spans="1:20" x14ac:dyDescent="0.3">
      <c r="A125" s="251" t="s">
        <v>853</v>
      </c>
      <c r="B125" s="252"/>
      <c r="C125" s="253" t="s">
        <v>854</v>
      </c>
      <c r="D125" s="254"/>
      <c r="E125" s="255"/>
      <c r="F125" s="255"/>
      <c r="G125" s="255"/>
      <c r="H125" s="255"/>
      <c r="I125" s="255"/>
      <c r="J125" s="255"/>
      <c r="K125" s="62">
        <f t="shared" si="45"/>
        <v>0</v>
      </c>
      <c r="L125" s="62">
        <f t="shared" si="46"/>
        <v>0</v>
      </c>
      <c r="M125" s="63">
        <f t="shared" si="47"/>
        <v>0</v>
      </c>
      <c r="N125" s="63">
        <f t="shared" si="48"/>
        <v>0</v>
      </c>
      <c r="O125" s="247">
        <f t="shared" si="49"/>
        <v>0</v>
      </c>
      <c r="P125" s="248">
        <f t="shared" si="50"/>
        <v>0</v>
      </c>
      <c r="Q125" s="257">
        <f t="shared" si="51"/>
        <v>0</v>
      </c>
      <c r="R125" s="249">
        <f t="shared" si="52"/>
        <v>0</v>
      </c>
      <c r="S125" s="249">
        <f t="shared" si="53"/>
        <v>0</v>
      </c>
      <c r="T125" s="258" t="b">
        <v>0</v>
      </c>
    </row>
    <row r="126" spans="1:20" x14ac:dyDescent="0.3">
      <c r="A126" s="251" t="s">
        <v>855</v>
      </c>
      <c r="B126" s="252"/>
      <c r="C126" s="253" t="s">
        <v>856</v>
      </c>
      <c r="D126" s="254"/>
      <c r="E126" s="255"/>
      <c r="F126" s="255"/>
      <c r="G126" s="255"/>
      <c r="H126" s="255"/>
      <c r="I126" s="255"/>
      <c r="J126" s="255"/>
      <c r="K126" s="62">
        <f t="shared" si="45"/>
        <v>0</v>
      </c>
      <c r="L126" s="62">
        <f t="shared" si="46"/>
        <v>0</v>
      </c>
      <c r="M126" s="63">
        <f t="shared" si="47"/>
        <v>0</v>
      </c>
      <c r="N126" s="63">
        <f t="shared" si="48"/>
        <v>0</v>
      </c>
      <c r="O126" s="247">
        <f t="shared" si="49"/>
        <v>0</v>
      </c>
      <c r="P126" s="248">
        <f t="shared" si="50"/>
        <v>0</v>
      </c>
      <c r="Q126" s="257">
        <f t="shared" si="51"/>
        <v>0</v>
      </c>
      <c r="R126" s="249">
        <f t="shared" si="52"/>
        <v>0</v>
      </c>
      <c r="S126" s="249">
        <f t="shared" si="53"/>
        <v>0</v>
      </c>
      <c r="T126" s="258" t="b">
        <v>0</v>
      </c>
    </row>
    <row r="127" spans="1:20" x14ac:dyDescent="0.3">
      <c r="A127" s="251" t="s">
        <v>857</v>
      </c>
      <c r="B127" s="252"/>
      <c r="C127" s="253" t="s">
        <v>858</v>
      </c>
      <c r="D127" s="254"/>
      <c r="E127" s="255"/>
      <c r="F127" s="255"/>
      <c r="G127" s="255"/>
      <c r="H127" s="255"/>
      <c r="I127" s="255"/>
      <c r="J127" s="255"/>
      <c r="K127" s="62">
        <f t="shared" si="45"/>
        <v>0</v>
      </c>
      <c r="L127" s="62">
        <f t="shared" si="46"/>
        <v>0</v>
      </c>
      <c r="M127" s="63">
        <f t="shared" si="47"/>
        <v>0</v>
      </c>
      <c r="N127" s="63">
        <f t="shared" si="48"/>
        <v>0</v>
      </c>
      <c r="O127" s="247">
        <f t="shared" si="49"/>
        <v>0</v>
      </c>
      <c r="P127" s="248">
        <f t="shared" si="50"/>
        <v>0</v>
      </c>
      <c r="Q127" s="257">
        <f t="shared" si="51"/>
        <v>0</v>
      </c>
      <c r="R127" s="249">
        <f t="shared" si="52"/>
        <v>0</v>
      </c>
      <c r="S127" s="249">
        <f t="shared" si="53"/>
        <v>0</v>
      </c>
      <c r="T127" s="258" t="b">
        <v>0</v>
      </c>
    </row>
    <row r="128" spans="1:20" x14ac:dyDescent="0.3">
      <c r="A128" s="251" t="s">
        <v>859</v>
      </c>
      <c r="B128" s="252"/>
      <c r="C128" s="253" t="s">
        <v>860</v>
      </c>
      <c r="D128" s="254"/>
      <c r="E128" s="255"/>
      <c r="F128" s="255"/>
      <c r="G128" s="255"/>
      <c r="H128" s="255"/>
      <c r="I128" s="255"/>
      <c r="J128" s="255"/>
      <c r="K128" s="62">
        <f t="shared" si="45"/>
        <v>0</v>
      </c>
      <c r="L128" s="62">
        <f t="shared" si="46"/>
        <v>0</v>
      </c>
      <c r="M128" s="63">
        <f t="shared" si="47"/>
        <v>0</v>
      </c>
      <c r="N128" s="63">
        <f t="shared" si="48"/>
        <v>0</v>
      </c>
      <c r="O128" s="247">
        <f t="shared" si="49"/>
        <v>0</v>
      </c>
      <c r="P128" s="248">
        <f t="shared" si="50"/>
        <v>0</v>
      </c>
      <c r="Q128" s="257">
        <f t="shared" si="51"/>
        <v>0</v>
      </c>
      <c r="R128" s="249">
        <f t="shared" si="52"/>
        <v>0</v>
      </c>
      <c r="S128" s="249">
        <f t="shared" si="53"/>
        <v>0</v>
      </c>
      <c r="T128" s="258" t="b">
        <v>0</v>
      </c>
    </row>
    <row r="129" spans="1:22" x14ac:dyDescent="0.3">
      <c r="A129" s="251" t="s">
        <v>861</v>
      </c>
      <c r="B129" s="252"/>
      <c r="C129" s="253" t="s">
        <v>862</v>
      </c>
      <c r="D129" s="254"/>
      <c r="E129" s="255"/>
      <c r="F129" s="255"/>
      <c r="G129" s="255"/>
      <c r="H129" s="255"/>
      <c r="I129" s="255"/>
      <c r="J129" s="255"/>
      <c r="K129" s="62">
        <f t="shared" si="45"/>
        <v>0</v>
      </c>
      <c r="L129" s="62">
        <f t="shared" si="46"/>
        <v>0</v>
      </c>
      <c r="M129" s="63">
        <f t="shared" si="47"/>
        <v>0</v>
      </c>
      <c r="N129" s="63">
        <f t="shared" si="48"/>
        <v>0</v>
      </c>
      <c r="O129" s="247">
        <f t="shared" si="49"/>
        <v>0</v>
      </c>
      <c r="P129" s="248">
        <f t="shared" si="50"/>
        <v>0</v>
      </c>
      <c r="Q129" s="257">
        <f t="shared" si="51"/>
        <v>0</v>
      </c>
      <c r="R129" s="249">
        <f t="shared" si="52"/>
        <v>0</v>
      </c>
      <c r="S129" s="249">
        <f t="shared" si="53"/>
        <v>0</v>
      </c>
      <c r="T129" s="258" t="b">
        <v>0</v>
      </c>
    </row>
    <row r="130" spans="1:22" x14ac:dyDescent="0.3">
      <c r="A130" s="251" t="s">
        <v>863</v>
      </c>
      <c r="B130" s="252"/>
      <c r="C130" s="253" t="s">
        <v>864</v>
      </c>
      <c r="D130" s="254"/>
      <c r="E130" s="255"/>
      <c r="F130" s="255"/>
      <c r="G130" s="255"/>
      <c r="H130" s="255"/>
      <c r="I130" s="255"/>
      <c r="J130" s="255"/>
      <c r="K130" s="62">
        <f t="shared" si="45"/>
        <v>0</v>
      </c>
      <c r="L130" s="62">
        <f t="shared" si="46"/>
        <v>0</v>
      </c>
      <c r="M130" s="63">
        <f t="shared" si="47"/>
        <v>0</v>
      </c>
      <c r="N130" s="63">
        <f t="shared" si="48"/>
        <v>0</v>
      </c>
      <c r="O130" s="247">
        <f t="shared" si="49"/>
        <v>0</v>
      </c>
      <c r="P130" s="248">
        <f t="shared" si="50"/>
        <v>0</v>
      </c>
      <c r="Q130" s="257">
        <f t="shared" si="51"/>
        <v>0</v>
      </c>
      <c r="R130" s="249">
        <f t="shared" si="52"/>
        <v>0</v>
      </c>
      <c r="S130" s="249">
        <f t="shared" si="53"/>
        <v>0</v>
      </c>
      <c r="T130" s="258" t="b">
        <v>0</v>
      </c>
    </row>
    <row r="131" spans="1:22" x14ac:dyDescent="0.3">
      <c r="A131" s="251" t="s">
        <v>865</v>
      </c>
      <c r="B131" s="252"/>
      <c r="C131" s="253" t="s">
        <v>866</v>
      </c>
      <c r="D131" s="254"/>
      <c r="E131" s="255"/>
      <c r="F131" s="255"/>
      <c r="G131" s="255"/>
      <c r="H131" s="255"/>
      <c r="I131" s="255"/>
      <c r="J131" s="255"/>
      <c r="K131" s="62">
        <f t="shared" si="45"/>
        <v>0</v>
      </c>
      <c r="L131" s="62">
        <f t="shared" si="46"/>
        <v>0</v>
      </c>
      <c r="M131" s="63">
        <f t="shared" si="47"/>
        <v>0</v>
      </c>
      <c r="N131" s="63">
        <f t="shared" si="48"/>
        <v>0</v>
      </c>
      <c r="O131" s="247">
        <f t="shared" si="49"/>
        <v>0</v>
      </c>
      <c r="P131" s="248">
        <f t="shared" si="50"/>
        <v>0</v>
      </c>
      <c r="Q131" s="257">
        <f t="shared" si="51"/>
        <v>0</v>
      </c>
      <c r="R131" s="249">
        <f t="shared" si="52"/>
        <v>0</v>
      </c>
      <c r="S131" s="249">
        <f t="shared" si="53"/>
        <v>0</v>
      </c>
      <c r="T131" s="258" t="b">
        <v>0</v>
      </c>
    </row>
    <row r="132" spans="1:22" ht="15.75" customHeight="1" thickBot="1" x14ac:dyDescent="0.35">
      <c r="A132" s="259" t="s">
        <v>867</v>
      </c>
      <c r="B132" s="260"/>
      <c r="C132" s="261" t="s">
        <v>868</v>
      </c>
      <c r="D132" s="262"/>
      <c r="E132" s="263"/>
      <c r="F132" s="263"/>
      <c r="G132" s="263"/>
      <c r="H132" s="263"/>
      <c r="I132" s="263"/>
      <c r="J132" s="263"/>
      <c r="K132" s="65">
        <f t="shared" si="45"/>
        <v>0</v>
      </c>
      <c r="L132" s="62">
        <f t="shared" si="46"/>
        <v>0</v>
      </c>
      <c r="M132" s="63">
        <f t="shared" si="47"/>
        <v>0</v>
      </c>
      <c r="N132" s="63">
        <f t="shared" si="48"/>
        <v>0</v>
      </c>
      <c r="O132" s="247">
        <f t="shared" si="49"/>
        <v>0</v>
      </c>
      <c r="P132" s="248">
        <f t="shared" si="50"/>
        <v>0</v>
      </c>
      <c r="Q132" s="265">
        <f t="shared" si="51"/>
        <v>0</v>
      </c>
      <c r="R132" s="249">
        <f t="shared" si="52"/>
        <v>0</v>
      </c>
      <c r="S132" s="249">
        <f t="shared" si="53"/>
        <v>0</v>
      </c>
      <c r="T132" s="266" t="b">
        <v>0</v>
      </c>
    </row>
    <row r="133" spans="1:22" s="273" customFormat="1" ht="15.75" customHeight="1" thickBot="1" x14ac:dyDescent="0.35">
      <c r="A133" s="23" t="s">
        <v>869</v>
      </c>
      <c r="B133" s="67"/>
      <c r="C133" s="24" t="s">
        <v>81</v>
      </c>
      <c r="D133" s="24"/>
      <c r="E133" s="24"/>
      <c r="F133" s="24">
        <f>SUBTOTAL(9,F123:F132)</f>
        <v>0</v>
      </c>
      <c r="G133" s="24">
        <f>SUBTOTAL(9,G123:G132)</f>
        <v>0</v>
      </c>
      <c r="H133" s="24"/>
      <c r="I133" s="24"/>
      <c r="J133" s="24"/>
      <c r="K133" s="24">
        <f>SUBTOTAL(9,K123:K132)</f>
        <v>0</v>
      </c>
      <c r="L133" s="24">
        <f>SUBTOTAL(9,L123:L132)</f>
        <v>0</v>
      </c>
      <c r="M133" s="68">
        <f>P133</f>
        <v>0</v>
      </c>
      <c r="N133" s="68">
        <f>Q133</f>
        <v>0</v>
      </c>
      <c r="O133" s="267">
        <f>SUBTOTAL(9,O123:O132)</f>
        <v>0</v>
      </c>
      <c r="P133" s="268">
        <f>SUBTOTAL(9,P123:P132)</f>
        <v>0</v>
      </c>
      <c r="Q133" s="268">
        <f>SUBTOTAL(9,Q123:Q132)</f>
        <v>0</v>
      </c>
      <c r="R133" s="269"/>
      <c r="S133" s="269"/>
      <c r="T133" s="270"/>
    </row>
    <row r="134" spans="1:22" ht="15.75" customHeight="1" thickTop="1" x14ac:dyDescent="0.3">
      <c r="A134" s="70" t="s">
        <v>870</v>
      </c>
      <c r="B134"/>
      <c r="C134"/>
      <c r="D134"/>
      <c r="E134"/>
      <c r="F134"/>
      <c r="G134"/>
      <c r="H134"/>
      <c r="I134"/>
      <c r="J134"/>
      <c r="K134"/>
      <c r="L134"/>
      <c r="M134"/>
      <c r="N134"/>
      <c r="O134" s="70"/>
      <c r="P134" s="70"/>
      <c r="Q134"/>
      <c r="R134"/>
      <c r="S134"/>
      <c r="U134" s="236"/>
      <c r="V134" s="236"/>
    </row>
    <row r="135" spans="1:22" x14ac:dyDescent="0.3">
      <c r="O135" s="70"/>
      <c r="P135" s="70"/>
      <c r="U135" s="236"/>
      <c r="V135" s="236"/>
    </row>
    <row r="136" spans="1:22" x14ac:dyDescent="0.3">
      <c r="B136" s="255" t="s">
        <v>871</v>
      </c>
      <c r="O136" s="70"/>
      <c r="P136" s="70"/>
      <c r="U136" s="236"/>
      <c r="V136" s="236"/>
    </row>
    <row r="137" spans="1:22" x14ac:dyDescent="0.3">
      <c r="B137" s="256" t="s">
        <v>872</v>
      </c>
      <c r="O137" s="70"/>
      <c r="P137" s="70"/>
      <c r="S137" s="236"/>
      <c r="T137" s="236"/>
    </row>
    <row r="138" spans="1:22" x14ac:dyDescent="0.3">
      <c r="B138" s="62" t="s">
        <v>873</v>
      </c>
      <c r="N138" s="187"/>
      <c r="O138" s="70"/>
      <c r="P138" s="70"/>
      <c r="S138" s="236"/>
      <c r="T138" s="236"/>
    </row>
    <row r="139" spans="1:22" x14ac:dyDescent="0.3">
      <c r="N139" s="187"/>
      <c r="O139" s="70"/>
      <c r="P139" s="70"/>
      <c r="S139" s="236"/>
      <c r="T139" s="236"/>
    </row>
    <row r="140" spans="1:22" ht="15.75" customHeight="1" thickBot="1" x14ac:dyDescent="0.35">
      <c r="A140"/>
      <c r="B140" s="25" t="s">
        <v>874</v>
      </c>
      <c r="C140" s="25"/>
      <c r="D140"/>
      <c r="E140"/>
      <c r="F140"/>
      <c r="G140"/>
      <c r="H140"/>
      <c r="I140"/>
      <c r="J140"/>
      <c r="K140"/>
      <c r="N140"/>
      <c r="O140" s="70"/>
      <c r="P140" s="70"/>
      <c r="Q140"/>
      <c r="R140"/>
      <c r="S140" s="236"/>
      <c r="T140" s="236"/>
    </row>
    <row r="141" spans="1:22" x14ac:dyDescent="0.3">
      <c r="B141" s="70" t="s">
        <v>875</v>
      </c>
      <c r="C141" s="235"/>
      <c r="O141" s="70"/>
      <c r="P141" s="70"/>
      <c r="S141" s="236"/>
      <c r="T141" s="236"/>
    </row>
    <row r="142" spans="1:22" x14ac:dyDescent="0.3">
      <c r="B142" s="70" t="s">
        <v>876</v>
      </c>
      <c r="C142" s="271"/>
      <c r="O142" s="70"/>
      <c r="P142" s="70"/>
      <c r="S142" s="236"/>
      <c r="T142" s="236"/>
    </row>
    <row r="143" spans="1:22" x14ac:dyDescent="0.3">
      <c r="B143" s="70" t="s">
        <v>877</v>
      </c>
      <c r="C143" s="272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Fill="0" autoLine="0" autoPict="0">
                <anchor moveWithCells="1">
                  <from>
                    <xdr:col>3</xdr:col>
                    <xdr:colOff>7620</xdr:colOff>
                    <xdr:row>2</xdr:row>
                    <xdr:rowOff>7620</xdr:rowOff>
                  </from>
                  <to>
                    <xdr:col>3</xdr:col>
                    <xdr:colOff>601980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Fill="0" autoLine="0" autoPict="0">
                <anchor moveWithCells="1">
                  <from>
                    <xdr:col>3</xdr:col>
                    <xdr:colOff>7620</xdr:colOff>
                    <xdr:row>3</xdr:row>
                    <xdr:rowOff>7620</xdr:rowOff>
                  </from>
                  <to>
                    <xdr:col>3</xdr:col>
                    <xdr:colOff>601980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Fill="0" autoLine="0" autoPict="0">
                <anchor moveWithCells="1">
                  <from>
                    <xdr:col>3</xdr:col>
                    <xdr:colOff>7620</xdr:colOff>
                    <xdr:row>4</xdr:row>
                    <xdr:rowOff>7620</xdr:rowOff>
                  </from>
                  <to>
                    <xdr:col>3</xdr:col>
                    <xdr:colOff>601980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Fill="0" autoLine="0" autoPict="0">
                <anchor moveWithCells="1">
                  <from>
                    <xdr:col>3</xdr:col>
                    <xdr:colOff>7620</xdr:colOff>
                    <xdr:row>5</xdr:row>
                    <xdr:rowOff>7620</xdr:rowOff>
                  </from>
                  <to>
                    <xdr:col>3</xdr:col>
                    <xdr:colOff>601980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Fill="0" autoLine="0" autoPict="0">
                <anchor moveWithCells="1">
                  <from>
                    <xdr:col>3</xdr:col>
                    <xdr:colOff>7620</xdr:colOff>
                    <xdr:row>6</xdr:row>
                    <xdr:rowOff>7620</xdr:rowOff>
                  </from>
                  <to>
                    <xdr:col>3</xdr:col>
                    <xdr:colOff>601980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Fill="0" autoLine="0" autoPict="0">
                <anchor moveWithCells="1">
                  <from>
                    <xdr:col>3</xdr:col>
                    <xdr:colOff>7620</xdr:colOff>
                    <xdr:row>7</xdr:row>
                    <xdr:rowOff>7620</xdr:rowOff>
                  </from>
                  <to>
                    <xdr:col>3</xdr:col>
                    <xdr:colOff>601980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Fill="0" autoLine="0" autoPict="0">
                <anchor moveWithCells="1">
                  <from>
                    <xdr:col>3</xdr:col>
                    <xdr:colOff>7620</xdr:colOff>
                    <xdr:row>8</xdr:row>
                    <xdr:rowOff>7620</xdr:rowOff>
                  </from>
                  <to>
                    <xdr:col>3</xdr:col>
                    <xdr:colOff>601980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Fill="0" autoLine="0" autoPict="0">
                <anchor moveWithCells="1">
                  <from>
                    <xdr:col>3</xdr:col>
                    <xdr:colOff>7620</xdr:colOff>
                    <xdr:row>8</xdr:row>
                    <xdr:rowOff>7620</xdr:rowOff>
                  </from>
                  <to>
                    <xdr:col>3</xdr:col>
                    <xdr:colOff>601980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Fill="0" autoLine="0" autoPict="0">
                <anchor moveWithCells="1">
                  <from>
                    <xdr:col>3</xdr:col>
                    <xdr:colOff>7620</xdr:colOff>
                    <xdr:row>9</xdr:row>
                    <xdr:rowOff>7620</xdr:rowOff>
                  </from>
                  <to>
                    <xdr:col>3</xdr:col>
                    <xdr:colOff>601980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Fill="0" autoLine="0" autoPict="0">
                <anchor moveWithCells="1">
                  <from>
                    <xdr:col>3</xdr:col>
                    <xdr:colOff>7620</xdr:colOff>
                    <xdr:row>9</xdr:row>
                    <xdr:rowOff>7620</xdr:rowOff>
                  </from>
                  <to>
                    <xdr:col>3</xdr:col>
                    <xdr:colOff>601980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Fill="0" autoLine="0" autoPict="0">
                <anchor moveWithCells="1">
                  <from>
                    <xdr:col>3</xdr:col>
                    <xdr:colOff>7620</xdr:colOff>
                    <xdr:row>10</xdr:row>
                    <xdr:rowOff>7620</xdr:rowOff>
                  </from>
                  <to>
                    <xdr:col>3</xdr:col>
                    <xdr:colOff>601980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Fill="0" autoLine="0" autoPict="0">
                <anchor moveWithCells="1">
                  <from>
                    <xdr:col>3</xdr:col>
                    <xdr:colOff>7620</xdr:colOff>
                    <xdr:row>10</xdr:row>
                    <xdr:rowOff>7620</xdr:rowOff>
                  </from>
                  <to>
                    <xdr:col>3</xdr:col>
                    <xdr:colOff>601980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Fill="0" autoLine="0" autoPict="0">
                <anchor moveWithCells="1">
                  <from>
                    <xdr:col>3</xdr:col>
                    <xdr:colOff>7620</xdr:colOff>
                    <xdr:row>10</xdr:row>
                    <xdr:rowOff>7620</xdr:rowOff>
                  </from>
                  <to>
                    <xdr:col>3</xdr:col>
                    <xdr:colOff>601980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Fill="0" autoLine="0" autoPict="0">
                <anchor moveWithCells="1">
                  <from>
                    <xdr:col>3</xdr:col>
                    <xdr:colOff>7620</xdr:colOff>
                    <xdr:row>11</xdr:row>
                    <xdr:rowOff>7620</xdr:rowOff>
                  </from>
                  <to>
                    <xdr:col>3</xdr:col>
                    <xdr:colOff>601980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defaultSize="0" autoFill="0" autoLine="0" autoPict="0">
                <anchor moveWithCells="1">
                  <from>
                    <xdr:col>3</xdr:col>
                    <xdr:colOff>7620</xdr:colOff>
                    <xdr:row>11</xdr:row>
                    <xdr:rowOff>7620</xdr:rowOff>
                  </from>
                  <to>
                    <xdr:col>3</xdr:col>
                    <xdr:colOff>601980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Fill="0" autoLine="0" autoPict="0">
                <anchor moveWithCells="1">
                  <from>
                    <xdr:col>3</xdr:col>
                    <xdr:colOff>7620</xdr:colOff>
                    <xdr:row>26</xdr:row>
                    <xdr:rowOff>7620</xdr:rowOff>
                  </from>
                  <to>
                    <xdr:col>3</xdr:col>
                    <xdr:colOff>601980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Fill="0" autoLine="0" autoPict="0">
                <anchor moveWithCells="1">
                  <from>
                    <xdr:col>3</xdr:col>
                    <xdr:colOff>7620</xdr:colOff>
                    <xdr:row>27</xdr:row>
                    <xdr:rowOff>7620</xdr:rowOff>
                  </from>
                  <to>
                    <xdr:col>3</xdr:col>
                    <xdr:colOff>601980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Fill="0" autoLine="0" autoPict="0">
                <anchor moveWithCells="1">
                  <from>
                    <xdr:col>3</xdr:col>
                    <xdr:colOff>7620</xdr:colOff>
                    <xdr:row>28</xdr:row>
                    <xdr:rowOff>7620</xdr:rowOff>
                  </from>
                  <to>
                    <xdr:col>3</xdr:col>
                    <xdr:colOff>601980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Fill="0" autoLine="0" autoPict="0">
                <anchor moveWithCells="1">
                  <from>
                    <xdr:col>3</xdr:col>
                    <xdr:colOff>7620</xdr:colOff>
                    <xdr:row>29</xdr:row>
                    <xdr:rowOff>7620</xdr:rowOff>
                  </from>
                  <to>
                    <xdr:col>3</xdr:col>
                    <xdr:colOff>601980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Fill="0" autoLine="0" autoPict="0">
                <anchor moveWithCells="1">
                  <from>
                    <xdr:col>3</xdr:col>
                    <xdr:colOff>7620</xdr:colOff>
                    <xdr:row>30</xdr:row>
                    <xdr:rowOff>7620</xdr:rowOff>
                  </from>
                  <to>
                    <xdr:col>3</xdr:col>
                    <xdr:colOff>601980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Fill="0" autoLine="0" autoPict="0">
                <anchor moveWithCells="1">
                  <from>
                    <xdr:col>3</xdr:col>
                    <xdr:colOff>7620</xdr:colOff>
                    <xdr:row>31</xdr:row>
                    <xdr:rowOff>7620</xdr:rowOff>
                  </from>
                  <to>
                    <xdr:col>3</xdr:col>
                    <xdr:colOff>601980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Fill="0" autoLine="0" autoPict="0">
                <anchor moveWithCells="1">
                  <from>
                    <xdr:col>3</xdr:col>
                    <xdr:colOff>7620</xdr:colOff>
                    <xdr:row>32</xdr:row>
                    <xdr:rowOff>7620</xdr:rowOff>
                  </from>
                  <to>
                    <xdr:col>3</xdr:col>
                    <xdr:colOff>601980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Fill="0" autoLine="0" autoPict="0">
                <anchor moveWithCells="1">
                  <from>
                    <xdr:col>3</xdr:col>
                    <xdr:colOff>7620</xdr:colOff>
                    <xdr:row>32</xdr:row>
                    <xdr:rowOff>7620</xdr:rowOff>
                  </from>
                  <to>
                    <xdr:col>3</xdr:col>
                    <xdr:colOff>601980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Fill="0" autoLine="0" autoPict="0">
                <anchor moveWithCells="1">
                  <from>
                    <xdr:col>3</xdr:col>
                    <xdr:colOff>7620</xdr:colOff>
                    <xdr:row>33</xdr:row>
                    <xdr:rowOff>7620</xdr:rowOff>
                  </from>
                  <to>
                    <xdr:col>3</xdr:col>
                    <xdr:colOff>601980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Fill="0" autoLine="0" autoPict="0">
                <anchor moveWithCells="1">
                  <from>
                    <xdr:col>3</xdr:col>
                    <xdr:colOff>7620</xdr:colOff>
                    <xdr:row>33</xdr:row>
                    <xdr:rowOff>7620</xdr:rowOff>
                  </from>
                  <to>
                    <xdr:col>3</xdr:col>
                    <xdr:colOff>601980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Fill="0" autoLine="0" autoPict="0">
                <anchor moveWithCells="1">
                  <from>
                    <xdr:col>3</xdr:col>
                    <xdr:colOff>7620</xdr:colOff>
                    <xdr:row>34</xdr:row>
                    <xdr:rowOff>7620</xdr:rowOff>
                  </from>
                  <to>
                    <xdr:col>3</xdr:col>
                    <xdr:colOff>601980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defaultSize="0" autoFill="0" autoLine="0" autoPict="0">
                <anchor moveWithCells="1">
                  <from>
                    <xdr:col>3</xdr:col>
                    <xdr:colOff>7620</xdr:colOff>
                    <xdr:row>34</xdr:row>
                    <xdr:rowOff>7620</xdr:rowOff>
                  </from>
                  <to>
                    <xdr:col>3</xdr:col>
                    <xdr:colOff>601980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defaultSize="0" autoFill="0" autoLine="0" autoPict="0">
                <anchor moveWithCells="1">
                  <from>
                    <xdr:col>3</xdr:col>
                    <xdr:colOff>7620</xdr:colOff>
                    <xdr:row>34</xdr:row>
                    <xdr:rowOff>7620</xdr:rowOff>
                  </from>
                  <to>
                    <xdr:col>3</xdr:col>
                    <xdr:colOff>601980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Fill="0" autoLine="0" autoPict="0">
                <anchor moveWithCells="1">
                  <from>
                    <xdr:col>3</xdr:col>
                    <xdr:colOff>7620</xdr:colOff>
                    <xdr:row>35</xdr:row>
                    <xdr:rowOff>7620</xdr:rowOff>
                  </from>
                  <to>
                    <xdr:col>3</xdr:col>
                    <xdr:colOff>601980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Fill="0" autoLine="0" autoPict="0">
                <anchor moveWithCells="1">
                  <from>
                    <xdr:col>3</xdr:col>
                    <xdr:colOff>7620</xdr:colOff>
                    <xdr:row>35</xdr:row>
                    <xdr:rowOff>7620</xdr:rowOff>
                  </from>
                  <to>
                    <xdr:col>3</xdr:col>
                    <xdr:colOff>601980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Fill="0" autoLine="0" autoPict="0">
                <anchor moveWithCells="1">
                  <from>
                    <xdr:col>3</xdr:col>
                    <xdr:colOff>7620</xdr:colOff>
                    <xdr:row>50</xdr:row>
                    <xdr:rowOff>7620</xdr:rowOff>
                  </from>
                  <to>
                    <xdr:col>3</xdr:col>
                    <xdr:colOff>601980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Fill="0" autoLine="0" autoPict="0">
                <anchor moveWithCells="1">
                  <from>
                    <xdr:col>3</xdr:col>
                    <xdr:colOff>7620</xdr:colOff>
                    <xdr:row>51</xdr:row>
                    <xdr:rowOff>7620</xdr:rowOff>
                  </from>
                  <to>
                    <xdr:col>3</xdr:col>
                    <xdr:colOff>601980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Fill="0" autoLine="0" autoPict="0">
                <anchor moveWithCells="1">
                  <from>
                    <xdr:col>3</xdr:col>
                    <xdr:colOff>7620</xdr:colOff>
                    <xdr:row>52</xdr:row>
                    <xdr:rowOff>7620</xdr:rowOff>
                  </from>
                  <to>
                    <xdr:col>3</xdr:col>
                    <xdr:colOff>601980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Fill="0" autoLine="0" autoPict="0">
                <anchor moveWithCells="1">
                  <from>
                    <xdr:col>3</xdr:col>
                    <xdr:colOff>7620</xdr:colOff>
                    <xdr:row>53</xdr:row>
                    <xdr:rowOff>7620</xdr:rowOff>
                  </from>
                  <to>
                    <xdr:col>3</xdr:col>
                    <xdr:colOff>601980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Fill="0" autoLine="0" autoPict="0">
                <anchor moveWithCells="1">
                  <from>
                    <xdr:col>3</xdr:col>
                    <xdr:colOff>7620</xdr:colOff>
                    <xdr:row>54</xdr:row>
                    <xdr:rowOff>7620</xdr:rowOff>
                  </from>
                  <to>
                    <xdr:col>3</xdr:col>
                    <xdr:colOff>601980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Fill="0" autoLine="0" autoPict="0">
                <anchor moveWithCells="1">
                  <from>
                    <xdr:col>3</xdr:col>
                    <xdr:colOff>7620</xdr:colOff>
                    <xdr:row>55</xdr:row>
                    <xdr:rowOff>7620</xdr:rowOff>
                  </from>
                  <to>
                    <xdr:col>3</xdr:col>
                    <xdr:colOff>601980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Fill="0" autoLine="0" autoPict="0">
                <anchor moveWithCells="1">
                  <from>
                    <xdr:col>3</xdr:col>
                    <xdr:colOff>7620</xdr:colOff>
                    <xdr:row>56</xdr:row>
                    <xdr:rowOff>7620</xdr:rowOff>
                  </from>
                  <to>
                    <xdr:col>3</xdr:col>
                    <xdr:colOff>601980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Fill="0" autoLine="0" autoPict="0">
                <anchor moveWithCells="1">
                  <from>
                    <xdr:col>3</xdr:col>
                    <xdr:colOff>7620</xdr:colOff>
                    <xdr:row>56</xdr:row>
                    <xdr:rowOff>7620</xdr:rowOff>
                  </from>
                  <to>
                    <xdr:col>3</xdr:col>
                    <xdr:colOff>601980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Fill="0" autoLine="0" autoPict="0">
                <anchor moveWithCells="1">
                  <from>
                    <xdr:col>3</xdr:col>
                    <xdr:colOff>7620</xdr:colOff>
                    <xdr:row>57</xdr:row>
                    <xdr:rowOff>7620</xdr:rowOff>
                  </from>
                  <to>
                    <xdr:col>3</xdr:col>
                    <xdr:colOff>601980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42" name="Check Box 40">
              <controlPr defaultSize="0" autoFill="0" autoLine="0" autoPict="0">
                <anchor moveWithCells="1">
                  <from>
                    <xdr:col>3</xdr:col>
                    <xdr:colOff>7620</xdr:colOff>
                    <xdr:row>57</xdr:row>
                    <xdr:rowOff>7620</xdr:rowOff>
                  </from>
                  <to>
                    <xdr:col>3</xdr:col>
                    <xdr:colOff>601980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43" name="Check Box 41">
              <controlPr defaultSize="0" autoFill="0" autoLine="0" autoPict="0">
                <anchor moveWithCells="1">
                  <from>
                    <xdr:col>3</xdr:col>
                    <xdr:colOff>7620</xdr:colOff>
                    <xdr:row>58</xdr:row>
                    <xdr:rowOff>7620</xdr:rowOff>
                  </from>
                  <to>
                    <xdr:col>3</xdr:col>
                    <xdr:colOff>601980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44" name="Check Box 42">
              <controlPr defaultSize="0" autoFill="0" autoLine="0" autoPict="0">
                <anchor moveWithCells="1">
                  <from>
                    <xdr:col>3</xdr:col>
                    <xdr:colOff>7620</xdr:colOff>
                    <xdr:row>58</xdr:row>
                    <xdr:rowOff>7620</xdr:rowOff>
                  </from>
                  <to>
                    <xdr:col>3</xdr:col>
                    <xdr:colOff>601980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45" name="Check Box 43">
              <controlPr defaultSize="0" autoFill="0" autoLine="0" autoPict="0">
                <anchor moveWithCells="1">
                  <from>
                    <xdr:col>3</xdr:col>
                    <xdr:colOff>7620</xdr:colOff>
                    <xdr:row>58</xdr:row>
                    <xdr:rowOff>7620</xdr:rowOff>
                  </from>
                  <to>
                    <xdr:col>3</xdr:col>
                    <xdr:colOff>601980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46" name="Check Box 44">
              <controlPr defaultSize="0" autoFill="0" autoLine="0" autoPict="0">
                <anchor moveWithCells="1">
                  <from>
                    <xdr:col>3</xdr:col>
                    <xdr:colOff>7620</xdr:colOff>
                    <xdr:row>59</xdr:row>
                    <xdr:rowOff>7620</xdr:rowOff>
                  </from>
                  <to>
                    <xdr:col>3</xdr:col>
                    <xdr:colOff>601980</xdr:colOff>
                    <xdr:row>60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47" name="Check Box 45">
              <controlPr defaultSize="0" autoFill="0" autoLine="0" autoPict="0">
                <anchor moveWithCells="1">
                  <from>
                    <xdr:col>3</xdr:col>
                    <xdr:colOff>7620</xdr:colOff>
                    <xdr:row>59</xdr:row>
                    <xdr:rowOff>7620</xdr:rowOff>
                  </from>
                  <to>
                    <xdr:col>3</xdr:col>
                    <xdr:colOff>601980</xdr:colOff>
                    <xdr:row>60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48" name="Check Box 46">
              <controlPr defaultSize="0" autoFill="0" autoLine="0" autoPict="0">
                <anchor moveWithCells="1">
                  <from>
                    <xdr:col>3</xdr:col>
                    <xdr:colOff>7620</xdr:colOff>
                    <xdr:row>74</xdr:row>
                    <xdr:rowOff>7620</xdr:rowOff>
                  </from>
                  <to>
                    <xdr:col>3</xdr:col>
                    <xdr:colOff>601980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49" name="Check Box 47">
              <controlPr defaultSize="0" autoFill="0" autoLine="0" autoPict="0">
                <anchor moveWithCells="1">
                  <from>
                    <xdr:col>3</xdr:col>
                    <xdr:colOff>7620</xdr:colOff>
                    <xdr:row>75</xdr:row>
                    <xdr:rowOff>7620</xdr:rowOff>
                  </from>
                  <to>
                    <xdr:col>3</xdr:col>
                    <xdr:colOff>601980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50" name="Check Box 48">
              <controlPr defaultSize="0" autoFill="0" autoLine="0" autoPict="0">
                <anchor moveWithCells="1">
                  <from>
                    <xdr:col>3</xdr:col>
                    <xdr:colOff>7620</xdr:colOff>
                    <xdr:row>76</xdr:row>
                    <xdr:rowOff>7620</xdr:rowOff>
                  </from>
                  <to>
                    <xdr:col>3</xdr:col>
                    <xdr:colOff>601980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51" name="Check Box 49">
              <controlPr defaultSize="0" autoFill="0" autoLine="0" autoPict="0">
                <anchor moveWithCells="1">
                  <from>
                    <xdr:col>3</xdr:col>
                    <xdr:colOff>7620</xdr:colOff>
                    <xdr:row>77</xdr:row>
                    <xdr:rowOff>7620</xdr:rowOff>
                  </from>
                  <to>
                    <xdr:col>3</xdr:col>
                    <xdr:colOff>601980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52" name="Check Box 50">
              <controlPr defaultSize="0" autoFill="0" autoLine="0" autoPict="0">
                <anchor moveWithCells="1">
                  <from>
                    <xdr:col>3</xdr:col>
                    <xdr:colOff>7620</xdr:colOff>
                    <xdr:row>78</xdr:row>
                    <xdr:rowOff>7620</xdr:rowOff>
                  </from>
                  <to>
                    <xdr:col>3</xdr:col>
                    <xdr:colOff>601980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53" name="Check Box 51">
              <controlPr defaultSize="0" autoFill="0" autoLine="0" autoPict="0">
                <anchor moveWithCells="1">
                  <from>
                    <xdr:col>3</xdr:col>
                    <xdr:colOff>7620</xdr:colOff>
                    <xdr:row>79</xdr:row>
                    <xdr:rowOff>7620</xdr:rowOff>
                  </from>
                  <to>
                    <xdr:col>3</xdr:col>
                    <xdr:colOff>601980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54" name="Check Box 52">
              <controlPr defaultSize="0" autoFill="0" autoLine="0" autoPict="0">
                <anchor moveWithCells="1">
                  <from>
                    <xdr:col>3</xdr:col>
                    <xdr:colOff>7620</xdr:colOff>
                    <xdr:row>80</xdr:row>
                    <xdr:rowOff>7620</xdr:rowOff>
                  </from>
                  <to>
                    <xdr:col>3</xdr:col>
                    <xdr:colOff>601980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55" name="Check Box 53">
              <controlPr defaultSize="0" autoFill="0" autoLine="0" autoPict="0">
                <anchor moveWithCells="1">
                  <from>
                    <xdr:col>3</xdr:col>
                    <xdr:colOff>7620</xdr:colOff>
                    <xdr:row>80</xdr:row>
                    <xdr:rowOff>7620</xdr:rowOff>
                  </from>
                  <to>
                    <xdr:col>3</xdr:col>
                    <xdr:colOff>601980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56" name="Check Box 54">
              <controlPr defaultSize="0" autoFill="0" autoLine="0" autoPict="0">
                <anchor moveWithCells="1">
                  <from>
                    <xdr:col>3</xdr:col>
                    <xdr:colOff>7620</xdr:colOff>
                    <xdr:row>81</xdr:row>
                    <xdr:rowOff>7620</xdr:rowOff>
                  </from>
                  <to>
                    <xdr:col>3</xdr:col>
                    <xdr:colOff>601980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57" name="Check Box 55">
              <controlPr defaultSize="0" autoFill="0" autoLine="0" autoPict="0">
                <anchor moveWithCells="1">
                  <from>
                    <xdr:col>3</xdr:col>
                    <xdr:colOff>7620</xdr:colOff>
                    <xdr:row>81</xdr:row>
                    <xdr:rowOff>7620</xdr:rowOff>
                  </from>
                  <to>
                    <xdr:col>3</xdr:col>
                    <xdr:colOff>601980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58" name="Check Box 56">
              <controlPr defaultSize="0" autoFill="0" autoLine="0" autoPict="0">
                <anchor moveWithCells="1">
                  <from>
                    <xdr:col>3</xdr:col>
                    <xdr:colOff>7620</xdr:colOff>
                    <xdr:row>82</xdr:row>
                    <xdr:rowOff>7620</xdr:rowOff>
                  </from>
                  <to>
                    <xdr:col>3</xdr:col>
                    <xdr:colOff>601980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59" name="Check Box 57">
              <controlPr defaultSize="0" autoFill="0" autoLine="0" autoPict="0">
                <anchor moveWithCells="1">
                  <from>
                    <xdr:col>3</xdr:col>
                    <xdr:colOff>7620</xdr:colOff>
                    <xdr:row>82</xdr:row>
                    <xdr:rowOff>7620</xdr:rowOff>
                  </from>
                  <to>
                    <xdr:col>3</xdr:col>
                    <xdr:colOff>601980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60" name="Check Box 58">
              <controlPr defaultSize="0" autoFill="0" autoLine="0" autoPict="0">
                <anchor moveWithCells="1">
                  <from>
                    <xdr:col>3</xdr:col>
                    <xdr:colOff>7620</xdr:colOff>
                    <xdr:row>82</xdr:row>
                    <xdr:rowOff>7620</xdr:rowOff>
                  </from>
                  <to>
                    <xdr:col>3</xdr:col>
                    <xdr:colOff>601980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61" name="Check Box 59">
              <controlPr defaultSize="0" autoFill="0" autoLine="0" autoPict="0">
                <anchor moveWithCells="1">
                  <from>
                    <xdr:col>3</xdr:col>
                    <xdr:colOff>7620</xdr:colOff>
                    <xdr:row>83</xdr:row>
                    <xdr:rowOff>7620</xdr:rowOff>
                  </from>
                  <to>
                    <xdr:col>3</xdr:col>
                    <xdr:colOff>601980</xdr:colOff>
                    <xdr:row>84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62" name="Check Box 60">
              <controlPr defaultSize="0" autoFill="0" autoLine="0" autoPict="0">
                <anchor moveWithCells="1">
                  <from>
                    <xdr:col>3</xdr:col>
                    <xdr:colOff>7620</xdr:colOff>
                    <xdr:row>83</xdr:row>
                    <xdr:rowOff>7620</xdr:rowOff>
                  </from>
                  <to>
                    <xdr:col>3</xdr:col>
                    <xdr:colOff>601980</xdr:colOff>
                    <xdr:row>84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63" name="Check Box 61">
              <controlPr defaultSize="0" autoFill="0" autoLine="0" autoPict="0">
                <anchor moveWithCells="1">
                  <from>
                    <xdr:col>3</xdr:col>
                    <xdr:colOff>7620</xdr:colOff>
                    <xdr:row>98</xdr:row>
                    <xdr:rowOff>7620</xdr:rowOff>
                  </from>
                  <to>
                    <xdr:col>3</xdr:col>
                    <xdr:colOff>601980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64" name="Check Box 62">
              <controlPr defaultSize="0" autoFill="0" autoLine="0" autoPict="0">
                <anchor moveWithCells="1">
                  <from>
                    <xdr:col>3</xdr:col>
                    <xdr:colOff>7620</xdr:colOff>
                    <xdr:row>99</xdr:row>
                    <xdr:rowOff>7620</xdr:rowOff>
                  </from>
                  <to>
                    <xdr:col>3</xdr:col>
                    <xdr:colOff>601980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65" name="Check Box 63">
              <controlPr defaultSize="0" autoFill="0" autoLine="0" autoPict="0">
                <anchor moveWithCells="1">
                  <from>
                    <xdr:col>3</xdr:col>
                    <xdr:colOff>7620</xdr:colOff>
                    <xdr:row>100</xdr:row>
                    <xdr:rowOff>7620</xdr:rowOff>
                  </from>
                  <to>
                    <xdr:col>3</xdr:col>
                    <xdr:colOff>601980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66" name="Check Box 64">
              <controlPr defaultSize="0" autoFill="0" autoLine="0" autoPict="0">
                <anchor moveWithCells="1">
                  <from>
                    <xdr:col>3</xdr:col>
                    <xdr:colOff>7620</xdr:colOff>
                    <xdr:row>101</xdr:row>
                    <xdr:rowOff>7620</xdr:rowOff>
                  </from>
                  <to>
                    <xdr:col>3</xdr:col>
                    <xdr:colOff>601980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r:id="rId67" name="Check Box 65">
              <controlPr defaultSize="0" autoFill="0" autoLine="0" autoPict="0">
                <anchor moveWithCells="1">
                  <from>
                    <xdr:col>3</xdr:col>
                    <xdr:colOff>7620</xdr:colOff>
                    <xdr:row>102</xdr:row>
                    <xdr:rowOff>7620</xdr:rowOff>
                  </from>
                  <to>
                    <xdr:col>3</xdr:col>
                    <xdr:colOff>601980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68" name="Check Box 66">
              <controlPr defaultSize="0" autoFill="0" autoLine="0" autoPict="0">
                <anchor moveWithCells="1">
                  <from>
                    <xdr:col>3</xdr:col>
                    <xdr:colOff>7620</xdr:colOff>
                    <xdr:row>103</xdr:row>
                    <xdr:rowOff>7620</xdr:rowOff>
                  </from>
                  <to>
                    <xdr:col>3</xdr:col>
                    <xdr:colOff>601980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69" name="Check Box 67">
              <controlPr defaultSize="0" autoFill="0" autoLine="0" autoPict="0">
                <anchor moveWithCells="1">
                  <from>
                    <xdr:col>3</xdr:col>
                    <xdr:colOff>7620</xdr:colOff>
                    <xdr:row>104</xdr:row>
                    <xdr:rowOff>7620</xdr:rowOff>
                  </from>
                  <to>
                    <xdr:col>3</xdr:col>
                    <xdr:colOff>601980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r:id="rId70" name="Check Box 68">
              <controlPr defaultSize="0" autoFill="0" autoLine="0" autoPict="0">
                <anchor moveWithCells="1">
                  <from>
                    <xdr:col>3</xdr:col>
                    <xdr:colOff>7620</xdr:colOff>
                    <xdr:row>104</xdr:row>
                    <xdr:rowOff>7620</xdr:rowOff>
                  </from>
                  <to>
                    <xdr:col>3</xdr:col>
                    <xdr:colOff>601980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r:id="rId71" name="Check Box 69">
              <controlPr defaultSize="0" autoFill="0" autoLine="0" autoPict="0">
                <anchor moveWithCells="1">
                  <from>
                    <xdr:col>3</xdr:col>
                    <xdr:colOff>7620</xdr:colOff>
                    <xdr:row>105</xdr:row>
                    <xdr:rowOff>7620</xdr:rowOff>
                  </from>
                  <to>
                    <xdr:col>3</xdr:col>
                    <xdr:colOff>601980</xdr:colOff>
                    <xdr:row>106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r:id="rId72" name="Check Box 70">
              <controlPr defaultSize="0" autoFill="0" autoLine="0" autoPict="0">
                <anchor moveWithCells="1">
                  <from>
                    <xdr:col>3</xdr:col>
                    <xdr:colOff>7620</xdr:colOff>
                    <xdr:row>105</xdr:row>
                    <xdr:rowOff>7620</xdr:rowOff>
                  </from>
                  <to>
                    <xdr:col>3</xdr:col>
                    <xdr:colOff>601980</xdr:colOff>
                    <xdr:row>106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r:id="rId73" name="Check Box 71">
              <controlPr defaultSize="0" autoFill="0" autoLine="0" autoPict="0">
                <anchor moveWithCells="1">
                  <from>
                    <xdr:col>3</xdr:col>
                    <xdr:colOff>7620</xdr:colOff>
                    <xdr:row>106</xdr:row>
                    <xdr:rowOff>7620</xdr:rowOff>
                  </from>
                  <to>
                    <xdr:col>3</xdr:col>
                    <xdr:colOff>601980</xdr:colOff>
                    <xdr:row>107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74" name="Check Box 72">
              <controlPr defaultSize="0" autoFill="0" autoLine="0" autoPict="0">
                <anchor moveWithCells="1">
                  <from>
                    <xdr:col>3</xdr:col>
                    <xdr:colOff>7620</xdr:colOff>
                    <xdr:row>106</xdr:row>
                    <xdr:rowOff>7620</xdr:rowOff>
                  </from>
                  <to>
                    <xdr:col>3</xdr:col>
                    <xdr:colOff>601980</xdr:colOff>
                    <xdr:row>107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r:id="rId75" name="Check Box 73">
              <controlPr defaultSize="0" autoFill="0" autoLine="0" autoPict="0">
                <anchor moveWithCells="1">
                  <from>
                    <xdr:col>3</xdr:col>
                    <xdr:colOff>7620</xdr:colOff>
                    <xdr:row>106</xdr:row>
                    <xdr:rowOff>7620</xdr:rowOff>
                  </from>
                  <to>
                    <xdr:col>3</xdr:col>
                    <xdr:colOff>601980</xdr:colOff>
                    <xdr:row>107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r:id="rId76" name="Check Box 74">
              <controlPr defaultSize="0" autoFill="0" autoLine="0" autoPict="0">
                <anchor moveWithCells="1">
                  <from>
                    <xdr:col>3</xdr:col>
                    <xdr:colOff>7620</xdr:colOff>
                    <xdr:row>107</xdr:row>
                    <xdr:rowOff>7620</xdr:rowOff>
                  </from>
                  <to>
                    <xdr:col>3</xdr:col>
                    <xdr:colOff>601980</xdr:colOff>
                    <xdr:row>108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r:id="rId77" name="Check Box 75">
              <controlPr defaultSize="0" autoFill="0" autoLine="0" autoPict="0">
                <anchor moveWithCells="1">
                  <from>
                    <xdr:col>3</xdr:col>
                    <xdr:colOff>7620</xdr:colOff>
                    <xdr:row>107</xdr:row>
                    <xdr:rowOff>7620</xdr:rowOff>
                  </from>
                  <to>
                    <xdr:col>3</xdr:col>
                    <xdr:colOff>601980</xdr:colOff>
                    <xdr:row>108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r:id="rId78" name="Check Box 76">
              <controlPr defaultSize="0" autoFill="0" autoLine="0" autoPict="0">
                <anchor moveWithCells="1">
                  <from>
                    <xdr:col>3</xdr:col>
                    <xdr:colOff>7620</xdr:colOff>
                    <xdr:row>122</xdr:row>
                    <xdr:rowOff>7620</xdr:rowOff>
                  </from>
                  <to>
                    <xdr:col>3</xdr:col>
                    <xdr:colOff>601980</xdr:colOff>
                    <xdr:row>123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r:id="rId79" name="Check Box 77">
              <controlPr defaultSize="0" autoFill="0" autoLine="0" autoPict="0">
                <anchor moveWithCells="1">
                  <from>
                    <xdr:col>3</xdr:col>
                    <xdr:colOff>7620</xdr:colOff>
                    <xdr:row>123</xdr:row>
                    <xdr:rowOff>7620</xdr:rowOff>
                  </from>
                  <to>
                    <xdr:col>3</xdr:col>
                    <xdr:colOff>601980</xdr:colOff>
                    <xdr:row>124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r:id="rId80" name="Check Box 78">
              <controlPr defaultSize="0" autoFill="0" autoLine="0" autoPict="0">
                <anchor moveWithCells="1">
                  <from>
                    <xdr:col>3</xdr:col>
                    <xdr:colOff>7620</xdr:colOff>
                    <xdr:row>124</xdr:row>
                    <xdr:rowOff>7620</xdr:rowOff>
                  </from>
                  <to>
                    <xdr:col>3</xdr:col>
                    <xdr:colOff>601980</xdr:colOff>
                    <xdr:row>125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r:id="rId81" name="Check Box 79">
              <controlPr defaultSize="0" autoFill="0" autoLine="0" autoPict="0">
                <anchor moveWithCells="1">
                  <from>
                    <xdr:col>3</xdr:col>
                    <xdr:colOff>7620</xdr:colOff>
                    <xdr:row>125</xdr:row>
                    <xdr:rowOff>7620</xdr:rowOff>
                  </from>
                  <to>
                    <xdr:col>3</xdr:col>
                    <xdr:colOff>601980</xdr:colOff>
                    <xdr:row>126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r:id="rId82" name="Check Box 80">
              <controlPr defaultSize="0" autoFill="0" autoLine="0" autoPict="0">
                <anchor moveWithCells="1">
                  <from>
                    <xdr:col>3</xdr:col>
                    <xdr:colOff>7620</xdr:colOff>
                    <xdr:row>126</xdr:row>
                    <xdr:rowOff>7620</xdr:rowOff>
                  </from>
                  <to>
                    <xdr:col>3</xdr:col>
                    <xdr:colOff>601980</xdr:colOff>
                    <xdr:row>127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r:id="rId83" name="Check Box 81">
              <controlPr defaultSize="0" autoFill="0" autoLine="0" autoPict="0">
                <anchor moveWithCells="1">
                  <from>
                    <xdr:col>3</xdr:col>
                    <xdr:colOff>7620</xdr:colOff>
                    <xdr:row>127</xdr:row>
                    <xdr:rowOff>7620</xdr:rowOff>
                  </from>
                  <to>
                    <xdr:col>3</xdr:col>
                    <xdr:colOff>601980</xdr:colOff>
                    <xdr:row>128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r:id="rId84" name="Check Box 82">
              <controlPr defaultSize="0" autoFill="0" autoLine="0" autoPict="0">
                <anchor moveWithCells="1">
                  <from>
                    <xdr:col>3</xdr:col>
                    <xdr:colOff>7620</xdr:colOff>
                    <xdr:row>128</xdr:row>
                    <xdr:rowOff>7620</xdr:rowOff>
                  </from>
                  <to>
                    <xdr:col>3</xdr:col>
                    <xdr:colOff>601980</xdr:colOff>
                    <xdr:row>129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r:id="rId85" name="Check Box 83">
              <controlPr defaultSize="0" autoFill="0" autoLine="0" autoPict="0">
                <anchor moveWithCells="1">
                  <from>
                    <xdr:col>3</xdr:col>
                    <xdr:colOff>7620</xdr:colOff>
                    <xdr:row>128</xdr:row>
                    <xdr:rowOff>7620</xdr:rowOff>
                  </from>
                  <to>
                    <xdr:col>3</xdr:col>
                    <xdr:colOff>601980</xdr:colOff>
                    <xdr:row>129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r:id="rId86" name="Check Box 84">
              <controlPr defaultSize="0" autoFill="0" autoLine="0" autoPict="0">
                <anchor moveWithCells="1">
                  <from>
                    <xdr:col>3</xdr:col>
                    <xdr:colOff>7620</xdr:colOff>
                    <xdr:row>129</xdr:row>
                    <xdr:rowOff>7620</xdr:rowOff>
                  </from>
                  <to>
                    <xdr:col>3</xdr:col>
                    <xdr:colOff>601980</xdr:colOff>
                    <xdr:row>130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r:id="rId87" name="Check Box 85">
              <controlPr defaultSize="0" autoFill="0" autoLine="0" autoPict="0">
                <anchor moveWithCells="1">
                  <from>
                    <xdr:col>3</xdr:col>
                    <xdr:colOff>7620</xdr:colOff>
                    <xdr:row>129</xdr:row>
                    <xdr:rowOff>7620</xdr:rowOff>
                  </from>
                  <to>
                    <xdr:col>3</xdr:col>
                    <xdr:colOff>601980</xdr:colOff>
                    <xdr:row>130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r:id="rId88" name="Check Box 86">
              <controlPr defaultSize="0" autoFill="0" autoLine="0" autoPict="0">
                <anchor moveWithCells="1">
                  <from>
                    <xdr:col>3</xdr:col>
                    <xdr:colOff>7620</xdr:colOff>
                    <xdr:row>130</xdr:row>
                    <xdr:rowOff>7620</xdr:rowOff>
                  </from>
                  <to>
                    <xdr:col>3</xdr:col>
                    <xdr:colOff>601980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r:id="rId89" name="Check Box 87">
              <controlPr defaultSize="0" autoFill="0" autoLine="0" autoPict="0">
                <anchor moveWithCells="1">
                  <from>
                    <xdr:col>3</xdr:col>
                    <xdr:colOff>7620</xdr:colOff>
                    <xdr:row>130</xdr:row>
                    <xdr:rowOff>7620</xdr:rowOff>
                  </from>
                  <to>
                    <xdr:col>3</xdr:col>
                    <xdr:colOff>601980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r:id="rId90" name="Check Box 88">
              <controlPr defaultSize="0" autoFill="0" autoLine="0" autoPict="0">
                <anchor moveWithCells="1">
                  <from>
                    <xdr:col>3</xdr:col>
                    <xdr:colOff>7620</xdr:colOff>
                    <xdr:row>130</xdr:row>
                    <xdr:rowOff>7620</xdr:rowOff>
                  </from>
                  <to>
                    <xdr:col>3</xdr:col>
                    <xdr:colOff>601980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r:id="rId91" name="Check Box 89">
              <controlPr defaultSize="0" autoFill="0" autoLine="0" autoPict="0">
                <anchor moveWithCells="1">
                  <from>
                    <xdr:col>3</xdr:col>
                    <xdr:colOff>7620</xdr:colOff>
                    <xdr:row>131</xdr:row>
                    <xdr:rowOff>7620</xdr:rowOff>
                  </from>
                  <to>
                    <xdr:col>3</xdr:col>
                    <xdr:colOff>601980</xdr:colOff>
                    <xdr:row>132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r:id="rId92" name="Check Box 90">
              <controlPr defaultSize="0" autoFill="0" autoLine="0" autoPict="0">
                <anchor moveWithCells="1">
                  <from>
                    <xdr:col>3</xdr:col>
                    <xdr:colOff>7620</xdr:colOff>
                    <xdr:row>131</xdr:row>
                    <xdr:rowOff>7620</xdr:rowOff>
                  </from>
                  <to>
                    <xdr:col>3</xdr:col>
                    <xdr:colOff>601980</xdr:colOff>
                    <xdr:row>132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r:id="rId93" name="Check Box 91">
              <controlPr defaultSize="0" autoFill="0" autoLine="0" autoPict="0">
                <anchor moveWithCells="1">
                  <from>
                    <xdr:col>3</xdr:col>
                    <xdr:colOff>7620</xdr:colOff>
                    <xdr:row>35</xdr:row>
                    <xdr:rowOff>7620</xdr:rowOff>
                  </from>
                  <to>
                    <xdr:col>3</xdr:col>
                    <xdr:colOff>601980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r:id="rId94" name="Check Box 92">
              <controlPr defaultSize="0" autoFill="0" autoLine="0" autoPict="0">
                <anchor moveWithCells="1">
                  <from>
                    <xdr:col>3</xdr:col>
                    <xdr:colOff>7620</xdr:colOff>
                    <xdr:row>35</xdr:row>
                    <xdr:rowOff>7620</xdr:rowOff>
                  </from>
                  <to>
                    <xdr:col>3</xdr:col>
                    <xdr:colOff>601980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r:id="rId95" name="Check Box 93">
              <controlPr defaultSize="0" autoFill="0" autoLine="0" autoPict="0">
                <anchor moveWithCells="1">
                  <from>
                    <xdr:col>3</xdr:col>
                    <xdr:colOff>7620</xdr:colOff>
                    <xdr:row>59</xdr:row>
                    <xdr:rowOff>7620</xdr:rowOff>
                  </from>
                  <to>
                    <xdr:col>3</xdr:col>
                    <xdr:colOff>601980</xdr:colOff>
                    <xdr:row>60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r:id="rId96" name="Check Box 94">
              <controlPr defaultSize="0" autoFill="0" autoLine="0" autoPict="0">
                <anchor moveWithCells="1">
                  <from>
                    <xdr:col>3</xdr:col>
                    <xdr:colOff>7620</xdr:colOff>
                    <xdr:row>59</xdr:row>
                    <xdr:rowOff>7620</xdr:rowOff>
                  </from>
                  <to>
                    <xdr:col>3</xdr:col>
                    <xdr:colOff>601980</xdr:colOff>
                    <xdr:row>60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r:id="rId97" name="Check Box 95">
              <controlPr defaultSize="0" autoFill="0" autoLine="0" autoPict="0">
                <anchor moveWithCells="1">
                  <from>
                    <xdr:col>3</xdr:col>
                    <xdr:colOff>7620</xdr:colOff>
                    <xdr:row>83</xdr:row>
                    <xdr:rowOff>7620</xdr:rowOff>
                  </from>
                  <to>
                    <xdr:col>3</xdr:col>
                    <xdr:colOff>601980</xdr:colOff>
                    <xdr:row>84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r:id="rId98" name="Check Box 96">
              <controlPr defaultSize="0" autoFill="0" autoLine="0" autoPict="0">
                <anchor moveWithCells="1">
                  <from>
                    <xdr:col>3</xdr:col>
                    <xdr:colOff>7620</xdr:colOff>
                    <xdr:row>83</xdr:row>
                    <xdr:rowOff>7620</xdr:rowOff>
                  </from>
                  <to>
                    <xdr:col>3</xdr:col>
                    <xdr:colOff>601980</xdr:colOff>
                    <xdr:row>84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r:id="rId99" name="Check Box 97">
              <controlPr defaultSize="0" autoFill="0" autoLine="0" autoPict="0">
                <anchor moveWithCells="1">
                  <from>
                    <xdr:col>3</xdr:col>
                    <xdr:colOff>7620</xdr:colOff>
                    <xdr:row>107</xdr:row>
                    <xdr:rowOff>7620</xdr:rowOff>
                  </from>
                  <to>
                    <xdr:col>3</xdr:col>
                    <xdr:colOff>601980</xdr:colOff>
                    <xdr:row>108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r:id="rId100" name="Check Box 98">
              <controlPr defaultSize="0" autoFill="0" autoLine="0" autoPict="0">
                <anchor moveWithCells="1">
                  <from>
                    <xdr:col>3</xdr:col>
                    <xdr:colOff>7620</xdr:colOff>
                    <xdr:row>107</xdr:row>
                    <xdr:rowOff>7620</xdr:rowOff>
                  </from>
                  <to>
                    <xdr:col>3</xdr:col>
                    <xdr:colOff>601980</xdr:colOff>
                    <xdr:row>108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r:id="rId101" name="Check Box 99">
              <controlPr defaultSize="0" autoFill="0" autoLine="0" autoPict="0">
                <anchor moveWithCells="1">
                  <from>
                    <xdr:col>3</xdr:col>
                    <xdr:colOff>7620</xdr:colOff>
                    <xdr:row>131</xdr:row>
                    <xdr:rowOff>7620</xdr:rowOff>
                  </from>
                  <to>
                    <xdr:col>3</xdr:col>
                    <xdr:colOff>601980</xdr:colOff>
                    <xdr:row>132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r:id="rId102" name="Check Box 100">
              <controlPr defaultSize="0" autoFill="0" autoLine="0" autoPict="0">
                <anchor moveWithCells="1">
                  <from>
                    <xdr:col>3</xdr:col>
                    <xdr:colOff>7620</xdr:colOff>
                    <xdr:row>131</xdr:row>
                    <xdr:rowOff>7620</xdr:rowOff>
                  </from>
                  <to>
                    <xdr:col>3</xdr:col>
                    <xdr:colOff>601980</xdr:colOff>
                    <xdr:row>132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2"/>
  <dimension ref="A1:J168"/>
  <sheetViews>
    <sheetView workbookViewId="0">
      <selection activeCell="D14" sqref="D14 D14"/>
    </sheetView>
  </sheetViews>
  <sheetFormatPr defaultRowHeight="14.4" x14ac:dyDescent="0.3"/>
  <cols>
    <col min="1" max="1" width="9.109375" style="70" customWidth="1"/>
    <col min="2" max="2" width="20" style="70" customWidth="1"/>
    <col min="3" max="3" width="25.33203125" style="70" customWidth="1"/>
    <col min="4" max="5" width="42.33203125" style="70" customWidth="1"/>
    <col min="6" max="7" width="15.44140625" style="70" customWidth="1"/>
    <col min="8" max="8" width="57.88671875" style="70" bestFit="1" customWidth="1"/>
    <col min="9" max="9" width="15.44140625" style="70" customWidth="1"/>
  </cols>
  <sheetData>
    <row r="1" spans="1:7" x14ac:dyDescent="0.3">
      <c r="A1" s="70" t="s">
        <v>879</v>
      </c>
    </row>
    <row r="2" spans="1:7" x14ac:dyDescent="0.3">
      <c r="B2" s="70" t="s">
        <v>880</v>
      </c>
      <c r="C2" s="70" t="s">
        <v>881</v>
      </c>
      <c r="D2" s="70" t="s">
        <v>882</v>
      </c>
      <c r="F2" s="70" t="s">
        <v>883</v>
      </c>
      <c r="G2" s="70" t="s">
        <v>884</v>
      </c>
    </row>
    <row r="3" spans="1:7" x14ac:dyDescent="0.3">
      <c r="B3" s="70" t="s">
        <v>102</v>
      </c>
      <c r="C3" s="70" t="s">
        <v>102</v>
      </c>
      <c r="D3" s="70" t="s">
        <v>102</v>
      </c>
      <c r="E3" s="70" t="s">
        <v>102</v>
      </c>
      <c r="F3" s="70" t="s">
        <v>102</v>
      </c>
      <c r="G3" s="70" t="s">
        <v>102</v>
      </c>
    </row>
    <row r="5" spans="1:7" x14ac:dyDescent="0.3">
      <c r="B5" s="70" t="s">
        <v>885</v>
      </c>
      <c r="C5" s="70" t="s">
        <v>886</v>
      </c>
      <c r="D5" s="70" t="s">
        <v>887</v>
      </c>
      <c r="E5" s="70" t="s">
        <v>888</v>
      </c>
      <c r="F5" s="70" t="s">
        <v>889</v>
      </c>
      <c r="G5" s="70" t="s">
        <v>236</v>
      </c>
    </row>
    <row r="6" spans="1:7" x14ac:dyDescent="0.3">
      <c r="B6" s="70" t="s">
        <v>890</v>
      </c>
      <c r="C6" s="70" t="s">
        <v>891</v>
      </c>
      <c r="D6" s="70" t="s">
        <v>892</v>
      </c>
      <c r="F6" s="70" t="s">
        <v>893</v>
      </c>
      <c r="G6" s="70" t="s">
        <v>64</v>
      </c>
    </row>
    <row r="7" spans="1:7" x14ac:dyDescent="0.3">
      <c r="B7" s="70" t="s">
        <v>894</v>
      </c>
      <c r="C7" s="70" t="s">
        <v>895</v>
      </c>
      <c r="D7" s="70" t="s">
        <v>896</v>
      </c>
      <c r="F7" s="70" t="s">
        <v>897</v>
      </c>
      <c r="G7" s="70" t="s">
        <v>235</v>
      </c>
    </row>
    <row r="8" spans="1:7" x14ac:dyDescent="0.3">
      <c r="D8" s="70" t="s">
        <v>898</v>
      </c>
      <c r="G8" s="70" t="s">
        <v>275</v>
      </c>
    </row>
    <row r="10" spans="1:7" x14ac:dyDescent="0.3">
      <c r="B10" s="273" t="s">
        <v>899</v>
      </c>
    </row>
    <row r="11" spans="1:7" x14ac:dyDescent="0.3">
      <c r="B11" s="70" t="s">
        <v>102</v>
      </c>
    </row>
    <row r="13" spans="1:7" x14ac:dyDescent="0.3">
      <c r="B13" s="70" t="s">
        <v>900</v>
      </c>
    </row>
    <row r="14" spans="1:7" x14ac:dyDescent="0.3">
      <c r="B14" s="70" t="s">
        <v>901</v>
      </c>
    </row>
    <row r="15" spans="1:7" x14ac:dyDescent="0.3">
      <c r="B15" s="70" t="s">
        <v>902</v>
      </c>
    </row>
    <row r="16" spans="1:7" x14ac:dyDescent="0.3">
      <c r="B16" s="70" t="s">
        <v>903</v>
      </c>
    </row>
    <row r="17" spans="2:10" x14ac:dyDescent="0.3">
      <c r="B17" s="70" t="s">
        <v>904</v>
      </c>
    </row>
    <row r="19" spans="2:10" x14ac:dyDescent="0.3">
      <c r="B19" s="273" t="s">
        <v>905</v>
      </c>
      <c r="C19" s="70" t="s">
        <v>35</v>
      </c>
      <c r="D19" s="70" t="s">
        <v>906</v>
      </c>
      <c r="F19" s="70" t="s">
        <v>907</v>
      </c>
      <c r="G19" s="70" t="s">
        <v>908</v>
      </c>
      <c r="H19" s="70" t="s">
        <v>909</v>
      </c>
      <c r="I19" s="70" t="s">
        <v>910</v>
      </c>
      <c r="J19" s="70" t="s">
        <v>911</v>
      </c>
    </row>
    <row r="20" spans="2:10" x14ac:dyDescent="0.3">
      <c r="B20" s="70" t="s">
        <v>912</v>
      </c>
      <c r="C20" s="70" t="s">
        <v>913</v>
      </c>
      <c r="D20" s="77">
        <v>1</v>
      </c>
      <c r="F20" s="70">
        <v>1</v>
      </c>
      <c r="G20" s="70">
        <v>1</v>
      </c>
      <c r="H20" s="70">
        <v>1</v>
      </c>
      <c r="I20" s="70" t="s">
        <v>914</v>
      </c>
      <c r="J20" s="70" t="s">
        <v>915</v>
      </c>
    </row>
    <row r="21" spans="2:10" x14ac:dyDescent="0.3">
      <c r="B21" s="70" t="s">
        <v>916</v>
      </c>
      <c r="C21" s="70" t="s">
        <v>917</v>
      </c>
      <c r="D21" s="77">
        <v>3</v>
      </c>
      <c r="F21" s="70">
        <v>1</v>
      </c>
      <c r="G21" s="70">
        <v>2</v>
      </c>
      <c r="H21" s="70">
        <v>2</v>
      </c>
      <c r="I21" s="70" t="s">
        <v>918</v>
      </c>
      <c r="J21" s="70" t="s">
        <v>919</v>
      </c>
    </row>
    <row r="22" spans="2:10" x14ac:dyDescent="0.3">
      <c r="B22" s="70" t="s">
        <v>920</v>
      </c>
      <c r="C22" s="70" t="s">
        <v>921</v>
      </c>
      <c r="D22" s="77">
        <v>4</v>
      </c>
      <c r="F22" s="70">
        <v>1</v>
      </c>
      <c r="G22" s="70">
        <v>3</v>
      </c>
      <c r="H22" s="70">
        <v>3</v>
      </c>
      <c r="I22" s="70" t="s">
        <v>922</v>
      </c>
      <c r="J22" s="70" t="s">
        <v>923</v>
      </c>
    </row>
    <row r="23" spans="2:10" x14ac:dyDescent="0.3">
      <c r="B23" s="70" t="s">
        <v>924</v>
      </c>
      <c r="C23" s="70" t="s">
        <v>925</v>
      </c>
      <c r="D23" s="77">
        <v>5</v>
      </c>
      <c r="F23" s="70">
        <v>1</v>
      </c>
      <c r="G23" s="70">
        <v>4</v>
      </c>
      <c r="H23" s="70">
        <v>4</v>
      </c>
      <c r="I23" s="70" t="s">
        <v>926</v>
      </c>
      <c r="J23" s="70" t="s">
        <v>927</v>
      </c>
    </row>
    <row r="24" spans="2:10" x14ac:dyDescent="0.3">
      <c r="B24" s="70" t="s">
        <v>928</v>
      </c>
      <c r="C24" s="70" t="s">
        <v>929</v>
      </c>
      <c r="D24" s="77">
        <v>6</v>
      </c>
      <c r="F24" s="70">
        <v>1</v>
      </c>
      <c r="G24" s="70">
        <v>5</v>
      </c>
      <c r="H24" s="70">
        <v>5</v>
      </c>
      <c r="I24" s="70" t="s">
        <v>930</v>
      </c>
      <c r="J24" s="70" t="s">
        <v>931</v>
      </c>
    </row>
    <row r="25" spans="2:10" x14ac:dyDescent="0.3">
      <c r="B25" s="70" t="s">
        <v>932</v>
      </c>
      <c r="C25" s="70" t="s">
        <v>933</v>
      </c>
      <c r="D25" s="77">
        <v>7</v>
      </c>
      <c r="F25" s="70">
        <v>1</v>
      </c>
      <c r="G25" s="70">
        <v>6</v>
      </c>
      <c r="H25" s="70">
        <v>6</v>
      </c>
      <c r="I25" s="70" t="s">
        <v>934</v>
      </c>
      <c r="J25" s="70" t="s">
        <v>935</v>
      </c>
    </row>
    <row r="26" spans="2:10" x14ac:dyDescent="0.3">
      <c r="B26" s="70" t="s">
        <v>936</v>
      </c>
      <c r="C26" s="70" t="s">
        <v>937</v>
      </c>
      <c r="D26" s="77">
        <v>8</v>
      </c>
      <c r="F26" s="70">
        <v>1</v>
      </c>
      <c r="G26" s="70">
        <v>7</v>
      </c>
      <c r="H26" s="70">
        <v>7</v>
      </c>
      <c r="I26" s="70" t="s">
        <v>938</v>
      </c>
      <c r="J26" s="70" t="s">
        <v>939</v>
      </c>
    </row>
    <row r="27" spans="2:10" x14ac:dyDescent="0.3">
      <c r="B27" s="70" t="s">
        <v>940</v>
      </c>
      <c r="C27" s="70" t="s">
        <v>941</v>
      </c>
      <c r="D27" s="77">
        <v>10</v>
      </c>
      <c r="F27" s="70">
        <v>1</v>
      </c>
      <c r="G27" s="70">
        <v>8</v>
      </c>
      <c r="H27" s="70">
        <v>8</v>
      </c>
      <c r="I27" s="70" t="s">
        <v>942</v>
      </c>
      <c r="J27" s="70" t="s">
        <v>943</v>
      </c>
    </row>
    <row r="28" spans="2:10" x14ac:dyDescent="0.3">
      <c r="B28" s="70" t="s">
        <v>944</v>
      </c>
      <c r="C28" s="70" t="s">
        <v>945</v>
      </c>
      <c r="D28" s="77">
        <v>12</v>
      </c>
      <c r="F28" s="70">
        <v>3</v>
      </c>
      <c r="G28" s="70">
        <v>9</v>
      </c>
      <c r="H28" s="70">
        <v>1</v>
      </c>
      <c r="I28" s="70" t="s">
        <v>946</v>
      </c>
      <c r="J28" s="70" t="s">
        <v>947</v>
      </c>
    </row>
    <row r="29" spans="2:10" x14ac:dyDescent="0.3">
      <c r="B29" s="70" t="s">
        <v>948</v>
      </c>
      <c r="C29" s="70" t="s">
        <v>949</v>
      </c>
      <c r="D29" s="77">
        <v>13</v>
      </c>
      <c r="F29" s="70">
        <v>3</v>
      </c>
      <c r="G29" s="70">
        <v>10</v>
      </c>
      <c r="H29" s="70">
        <v>2</v>
      </c>
      <c r="I29" s="70" t="s">
        <v>950</v>
      </c>
      <c r="J29" s="70" t="s">
        <v>951</v>
      </c>
    </row>
    <row r="30" spans="2:10" x14ac:dyDescent="0.3">
      <c r="B30" s="70" t="s">
        <v>952</v>
      </c>
      <c r="C30" s="70" t="s">
        <v>953</v>
      </c>
      <c r="D30" s="77">
        <v>14</v>
      </c>
      <c r="F30" s="70">
        <v>3</v>
      </c>
      <c r="G30" s="70">
        <v>11</v>
      </c>
      <c r="H30" s="70">
        <v>3</v>
      </c>
      <c r="I30" s="70" t="s">
        <v>954</v>
      </c>
      <c r="J30" s="70" t="s">
        <v>955</v>
      </c>
    </row>
    <row r="31" spans="2:10" x14ac:dyDescent="0.3">
      <c r="B31" s="70" t="s">
        <v>956</v>
      </c>
      <c r="C31" s="70" t="s">
        <v>957</v>
      </c>
      <c r="D31" s="77">
        <v>17</v>
      </c>
      <c r="F31" s="70">
        <v>3</v>
      </c>
      <c r="G31" s="70">
        <v>12</v>
      </c>
      <c r="H31" s="70">
        <v>4</v>
      </c>
      <c r="I31" s="70" t="s">
        <v>958</v>
      </c>
      <c r="J31" s="70" t="s">
        <v>959</v>
      </c>
    </row>
    <row r="32" spans="2:10" x14ac:dyDescent="0.3">
      <c r="B32" s="70" t="s">
        <v>960</v>
      </c>
      <c r="C32" s="70" t="s">
        <v>961</v>
      </c>
      <c r="D32" s="77">
        <v>18</v>
      </c>
      <c r="F32" s="70">
        <v>3</v>
      </c>
      <c r="G32" s="70">
        <v>13</v>
      </c>
      <c r="H32" s="70">
        <v>5</v>
      </c>
      <c r="I32" s="70" t="s">
        <v>962</v>
      </c>
      <c r="J32" s="70" t="s">
        <v>963</v>
      </c>
    </row>
    <row r="33" spans="2:10" x14ac:dyDescent="0.3">
      <c r="B33" s="70" t="s">
        <v>964</v>
      </c>
      <c r="C33" s="70" t="s">
        <v>965</v>
      </c>
      <c r="D33" s="77">
        <v>19</v>
      </c>
      <c r="F33" s="70">
        <v>3</v>
      </c>
      <c r="G33" s="70">
        <v>14</v>
      </c>
      <c r="H33" s="70">
        <v>6</v>
      </c>
      <c r="I33" s="70" t="s">
        <v>966</v>
      </c>
      <c r="J33" s="70" t="s">
        <v>967</v>
      </c>
    </row>
    <row r="34" spans="2:10" x14ac:dyDescent="0.3">
      <c r="B34" s="70" t="s">
        <v>968</v>
      </c>
      <c r="C34" s="70" t="s">
        <v>969</v>
      </c>
      <c r="D34" s="77">
        <v>20</v>
      </c>
      <c r="F34" s="70">
        <v>4</v>
      </c>
      <c r="G34" s="70">
        <v>15</v>
      </c>
      <c r="H34" s="70">
        <v>1</v>
      </c>
      <c r="I34" s="70" t="s">
        <v>970</v>
      </c>
      <c r="J34" s="70" t="s">
        <v>971</v>
      </c>
    </row>
    <row r="35" spans="2:10" x14ac:dyDescent="0.3">
      <c r="B35" s="70" t="s">
        <v>972</v>
      </c>
      <c r="C35" s="70" t="s">
        <v>973</v>
      </c>
      <c r="D35" s="77">
        <v>21</v>
      </c>
      <c r="F35" s="70">
        <v>4</v>
      </c>
      <c r="G35" s="70">
        <v>16</v>
      </c>
      <c r="H35" s="70">
        <v>2</v>
      </c>
      <c r="I35" s="70" t="s">
        <v>974</v>
      </c>
      <c r="J35" s="70" t="s">
        <v>975</v>
      </c>
    </row>
    <row r="36" spans="2:10" x14ac:dyDescent="0.3">
      <c r="B36" s="70" t="s">
        <v>976</v>
      </c>
      <c r="C36" s="70" t="s">
        <v>977</v>
      </c>
      <c r="D36" s="77">
        <v>22</v>
      </c>
      <c r="F36" s="70">
        <v>4</v>
      </c>
      <c r="H36" s="70">
        <v>3</v>
      </c>
      <c r="I36" s="70" t="s">
        <v>978</v>
      </c>
      <c r="J36" s="70" t="s">
        <v>979</v>
      </c>
    </row>
    <row r="37" spans="2:10" x14ac:dyDescent="0.3">
      <c r="B37" s="70" t="s">
        <v>980</v>
      </c>
      <c r="C37" s="70" t="s">
        <v>981</v>
      </c>
      <c r="D37" s="77">
        <v>23</v>
      </c>
      <c r="F37" s="70">
        <v>4</v>
      </c>
      <c r="H37" s="70">
        <v>4</v>
      </c>
      <c r="I37" s="70" t="s">
        <v>982</v>
      </c>
      <c r="J37" s="70" t="s">
        <v>983</v>
      </c>
    </row>
    <row r="38" spans="2:10" x14ac:dyDescent="0.3">
      <c r="B38" s="70" t="s">
        <v>984</v>
      </c>
      <c r="C38" s="70" t="s">
        <v>985</v>
      </c>
      <c r="D38" s="77">
        <v>24</v>
      </c>
      <c r="F38" s="70">
        <v>4</v>
      </c>
      <c r="H38" s="70">
        <v>5</v>
      </c>
      <c r="I38" s="70" t="s">
        <v>986</v>
      </c>
      <c r="J38" s="70" t="s">
        <v>987</v>
      </c>
    </row>
    <row r="39" spans="2:10" x14ac:dyDescent="0.3">
      <c r="B39" s="70" t="s">
        <v>988</v>
      </c>
      <c r="C39" s="70" t="s">
        <v>989</v>
      </c>
      <c r="D39" s="77">
        <v>25</v>
      </c>
      <c r="F39" s="70">
        <v>4</v>
      </c>
      <c r="H39" s="70">
        <v>6</v>
      </c>
      <c r="I39" s="70" t="s">
        <v>990</v>
      </c>
      <c r="J39" s="70" t="s">
        <v>991</v>
      </c>
    </row>
    <row r="40" spans="2:10" x14ac:dyDescent="0.3">
      <c r="F40" s="70">
        <v>4</v>
      </c>
      <c r="H40" s="70">
        <v>7</v>
      </c>
      <c r="I40" s="70" t="s">
        <v>992</v>
      </c>
      <c r="J40" s="70" t="s">
        <v>993</v>
      </c>
    </row>
    <row r="41" spans="2:10" x14ac:dyDescent="0.3">
      <c r="B41" s="70" t="s">
        <v>994</v>
      </c>
      <c r="F41" s="70">
        <v>4</v>
      </c>
      <c r="H41" s="70">
        <v>8</v>
      </c>
      <c r="I41" s="70" t="s">
        <v>995</v>
      </c>
      <c r="J41" s="70" t="s">
        <v>996</v>
      </c>
    </row>
    <row r="42" spans="2:10" x14ac:dyDescent="0.3">
      <c r="B42" s="70" t="s">
        <v>63</v>
      </c>
      <c r="F42" s="70">
        <v>4</v>
      </c>
      <c r="H42" s="70">
        <v>9</v>
      </c>
      <c r="I42" s="70" t="s">
        <v>997</v>
      </c>
      <c r="J42" s="70" t="s">
        <v>998</v>
      </c>
    </row>
    <row r="43" spans="2:10" x14ac:dyDescent="0.3">
      <c r="B43" s="70" t="s">
        <v>64</v>
      </c>
      <c r="F43" s="70">
        <v>5</v>
      </c>
      <c r="H43" s="70">
        <v>1</v>
      </c>
      <c r="I43" s="70" t="s">
        <v>999</v>
      </c>
      <c r="J43" s="70" t="s">
        <v>1000</v>
      </c>
    </row>
    <row r="44" spans="2:10" x14ac:dyDescent="0.3">
      <c r="B44" s="70" t="s">
        <v>65</v>
      </c>
      <c r="F44" s="70">
        <v>5</v>
      </c>
      <c r="H44" s="70">
        <v>2</v>
      </c>
      <c r="I44" s="70" t="s">
        <v>1001</v>
      </c>
      <c r="J44" s="70" t="s">
        <v>1002</v>
      </c>
    </row>
    <row r="45" spans="2:10" x14ac:dyDescent="0.3">
      <c r="F45" s="70">
        <v>5</v>
      </c>
      <c r="H45" s="70">
        <v>3</v>
      </c>
      <c r="I45" s="70" t="s">
        <v>1003</v>
      </c>
      <c r="J45" s="70" t="s">
        <v>1004</v>
      </c>
    </row>
    <row r="46" spans="2:10" x14ac:dyDescent="0.3">
      <c r="F46" s="70">
        <v>5</v>
      </c>
      <c r="H46" s="70">
        <v>4</v>
      </c>
      <c r="I46" s="70" t="s">
        <v>1005</v>
      </c>
      <c r="J46" s="70" t="s">
        <v>1006</v>
      </c>
    </row>
    <row r="47" spans="2:10" x14ac:dyDescent="0.3">
      <c r="F47" s="70">
        <v>5</v>
      </c>
      <c r="H47" s="70">
        <v>5</v>
      </c>
      <c r="I47" s="70" t="s">
        <v>1007</v>
      </c>
      <c r="J47" s="70" t="s">
        <v>1008</v>
      </c>
    </row>
    <row r="48" spans="2:10" x14ac:dyDescent="0.3">
      <c r="F48" s="70">
        <v>5</v>
      </c>
      <c r="H48" s="70">
        <v>6</v>
      </c>
      <c r="I48" s="70" t="s">
        <v>1009</v>
      </c>
      <c r="J48" s="70" t="s">
        <v>1010</v>
      </c>
    </row>
    <row r="49" spans="6:10" x14ac:dyDescent="0.3">
      <c r="F49" s="70">
        <v>5</v>
      </c>
      <c r="H49" s="70">
        <v>7</v>
      </c>
      <c r="I49" s="70" t="s">
        <v>1011</v>
      </c>
      <c r="J49" s="70" t="s">
        <v>1012</v>
      </c>
    </row>
    <row r="50" spans="6:10" x14ac:dyDescent="0.3">
      <c r="F50" s="70">
        <v>5</v>
      </c>
      <c r="H50" s="70">
        <v>8</v>
      </c>
      <c r="I50" s="70" t="s">
        <v>1013</v>
      </c>
      <c r="J50" s="70" t="s">
        <v>1014</v>
      </c>
    </row>
    <row r="51" spans="6:10" x14ac:dyDescent="0.3">
      <c r="F51" s="70">
        <v>6</v>
      </c>
      <c r="H51" s="70">
        <v>1</v>
      </c>
      <c r="I51" s="70" t="s">
        <v>1015</v>
      </c>
      <c r="J51" s="70" t="s">
        <v>1016</v>
      </c>
    </row>
    <row r="52" spans="6:10" x14ac:dyDescent="0.3">
      <c r="F52" s="70">
        <v>6</v>
      </c>
      <c r="H52" s="70">
        <v>2</v>
      </c>
      <c r="I52" s="70" t="s">
        <v>1017</v>
      </c>
      <c r="J52" s="70" t="s">
        <v>1018</v>
      </c>
    </row>
    <row r="53" spans="6:10" x14ac:dyDescent="0.3">
      <c r="F53" s="70">
        <v>6</v>
      </c>
      <c r="H53" s="70">
        <v>3</v>
      </c>
      <c r="I53" s="70" t="s">
        <v>1019</v>
      </c>
      <c r="J53" s="70" t="s">
        <v>1020</v>
      </c>
    </row>
    <row r="54" spans="6:10" x14ac:dyDescent="0.3">
      <c r="F54" s="70">
        <v>6</v>
      </c>
      <c r="H54" s="70">
        <v>4</v>
      </c>
      <c r="I54" s="70" t="s">
        <v>1021</v>
      </c>
      <c r="J54" s="70" t="s">
        <v>1022</v>
      </c>
    </row>
    <row r="55" spans="6:10" x14ac:dyDescent="0.3">
      <c r="F55" s="70">
        <v>6</v>
      </c>
      <c r="H55" s="70">
        <v>5</v>
      </c>
      <c r="I55" s="70" t="s">
        <v>1023</v>
      </c>
      <c r="J55" s="70" t="s">
        <v>1024</v>
      </c>
    </row>
    <row r="56" spans="6:10" x14ac:dyDescent="0.3">
      <c r="F56" s="70">
        <v>6</v>
      </c>
      <c r="H56" s="70">
        <v>6</v>
      </c>
      <c r="I56" s="70" t="s">
        <v>1025</v>
      </c>
      <c r="J56" s="70" t="s">
        <v>1026</v>
      </c>
    </row>
    <row r="57" spans="6:10" x14ac:dyDescent="0.3">
      <c r="F57" s="70">
        <v>6</v>
      </c>
      <c r="H57" s="70">
        <v>7</v>
      </c>
      <c r="I57" s="70" t="s">
        <v>1027</v>
      </c>
      <c r="J57" s="70" t="s">
        <v>1028</v>
      </c>
    </row>
    <row r="58" spans="6:10" x14ac:dyDescent="0.3">
      <c r="F58" s="70">
        <v>6</v>
      </c>
      <c r="H58" s="70">
        <v>8</v>
      </c>
      <c r="I58" s="70" t="s">
        <v>1029</v>
      </c>
      <c r="J58" s="70" t="s">
        <v>1030</v>
      </c>
    </row>
    <row r="59" spans="6:10" x14ac:dyDescent="0.3">
      <c r="F59" s="70">
        <v>7</v>
      </c>
      <c r="H59" s="70">
        <v>1</v>
      </c>
      <c r="I59" s="70">
        <v>1</v>
      </c>
      <c r="J59" s="70" t="s">
        <v>1031</v>
      </c>
    </row>
    <row r="60" spans="6:10" x14ac:dyDescent="0.3">
      <c r="F60" s="70">
        <v>7</v>
      </c>
      <c r="H60" s="70">
        <v>2</v>
      </c>
      <c r="I60" s="70">
        <v>2</v>
      </c>
      <c r="J60" s="70" t="s">
        <v>1032</v>
      </c>
    </row>
    <row r="61" spans="6:10" x14ac:dyDescent="0.3">
      <c r="F61" s="70">
        <v>7</v>
      </c>
      <c r="H61" s="70">
        <v>3</v>
      </c>
      <c r="I61" s="70">
        <v>3</v>
      </c>
      <c r="J61" s="70" t="s">
        <v>1033</v>
      </c>
    </row>
    <row r="62" spans="6:10" x14ac:dyDescent="0.3">
      <c r="F62" s="70">
        <v>7</v>
      </c>
      <c r="H62" s="70">
        <v>4</v>
      </c>
      <c r="I62" s="70">
        <v>4</v>
      </c>
      <c r="J62" s="70" t="s">
        <v>1034</v>
      </c>
    </row>
    <row r="63" spans="6:10" x14ac:dyDescent="0.3">
      <c r="F63" s="70">
        <v>7</v>
      </c>
      <c r="H63" s="70">
        <v>5</v>
      </c>
      <c r="I63" s="70">
        <v>5</v>
      </c>
      <c r="J63" s="70" t="s">
        <v>1035</v>
      </c>
    </row>
    <row r="64" spans="6:10" x14ac:dyDescent="0.3">
      <c r="F64" s="70">
        <v>7</v>
      </c>
      <c r="H64" s="70">
        <v>6</v>
      </c>
      <c r="I64" s="70">
        <v>6</v>
      </c>
      <c r="J64" s="70" t="s">
        <v>1036</v>
      </c>
    </row>
    <row r="65" spans="6:10" x14ac:dyDescent="0.3">
      <c r="F65" s="70">
        <v>7</v>
      </c>
      <c r="H65" s="70">
        <v>7</v>
      </c>
      <c r="I65" s="70">
        <v>7</v>
      </c>
      <c r="J65" s="70" t="s">
        <v>1037</v>
      </c>
    </row>
    <row r="66" spans="6:10" x14ac:dyDescent="0.3">
      <c r="F66" s="70">
        <v>8</v>
      </c>
      <c r="H66" s="70">
        <v>1</v>
      </c>
      <c r="I66" s="70" t="s">
        <v>1038</v>
      </c>
      <c r="J66" s="70" t="s">
        <v>1039</v>
      </c>
    </row>
    <row r="67" spans="6:10" x14ac:dyDescent="0.3">
      <c r="F67" s="70">
        <v>8</v>
      </c>
      <c r="H67" s="70">
        <v>2</v>
      </c>
      <c r="I67" s="70" t="s">
        <v>1040</v>
      </c>
      <c r="J67" s="70" t="s">
        <v>1041</v>
      </c>
    </row>
    <row r="68" spans="6:10" x14ac:dyDescent="0.3">
      <c r="F68" s="70">
        <v>8</v>
      </c>
      <c r="H68" s="70">
        <v>3</v>
      </c>
      <c r="I68" s="70" t="s">
        <v>1042</v>
      </c>
      <c r="J68" s="70" t="s">
        <v>1043</v>
      </c>
    </row>
    <row r="69" spans="6:10" x14ac:dyDescent="0.3">
      <c r="F69" s="70">
        <v>8</v>
      </c>
      <c r="H69" s="70">
        <v>4</v>
      </c>
      <c r="I69" s="70" t="s">
        <v>1044</v>
      </c>
      <c r="J69" s="70" t="s">
        <v>1045</v>
      </c>
    </row>
    <row r="70" spans="6:10" x14ac:dyDescent="0.3">
      <c r="F70" s="70">
        <v>8</v>
      </c>
      <c r="H70" s="70">
        <v>5</v>
      </c>
      <c r="I70" s="70" t="s">
        <v>1046</v>
      </c>
      <c r="J70" s="70" t="s">
        <v>1047</v>
      </c>
    </row>
    <row r="71" spans="6:10" x14ac:dyDescent="0.3">
      <c r="F71" s="70">
        <v>8</v>
      </c>
      <c r="H71" s="70">
        <v>6</v>
      </c>
      <c r="I71" s="70" t="s">
        <v>1048</v>
      </c>
      <c r="J71" s="70" t="s">
        <v>1049</v>
      </c>
    </row>
    <row r="72" spans="6:10" x14ac:dyDescent="0.3">
      <c r="F72" s="70">
        <v>8</v>
      </c>
      <c r="H72" s="70">
        <v>7</v>
      </c>
      <c r="I72" s="70" t="s">
        <v>1050</v>
      </c>
      <c r="J72" s="70" t="s">
        <v>1051</v>
      </c>
    </row>
    <row r="73" spans="6:10" x14ac:dyDescent="0.3">
      <c r="F73" s="70">
        <v>8</v>
      </c>
      <c r="H73" s="70">
        <v>8</v>
      </c>
      <c r="I73" s="70" t="s">
        <v>1052</v>
      </c>
      <c r="J73" s="70" t="s">
        <v>1053</v>
      </c>
    </row>
    <row r="74" spans="6:10" x14ac:dyDescent="0.3">
      <c r="F74" s="70">
        <v>8</v>
      </c>
      <c r="H74" s="70">
        <v>9</v>
      </c>
      <c r="I74" s="70" t="s">
        <v>1054</v>
      </c>
      <c r="J74" s="70" t="s">
        <v>1055</v>
      </c>
    </row>
    <row r="75" spans="6:10" x14ac:dyDescent="0.3">
      <c r="F75" s="70">
        <v>8</v>
      </c>
      <c r="H75" s="70">
        <v>10</v>
      </c>
      <c r="I75" s="70" t="s">
        <v>1056</v>
      </c>
      <c r="J75" s="70" t="s">
        <v>1057</v>
      </c>
    </row>
    <row r="76" spans="6:10" x14ac:dyDescent="0.3">
      <c r="F76" s="70">
        <v>10</v>
      </c>
      <c r="H76" s="70">
        <v>1</v>
      </c>
      <c r="I76" s="70" t="s">
        <v>1058</v>
      </c>
      <c r="J76" s="70" t="s">
        <v>1059</v>
      </c>
    </row>
    <row r="77" spans="6:10" x14ac:dyDescent="0.3">
      <c r="F77" s="70">
        <v>10</v>
      </c>
      <c r="H77" s="70">
        <v>2</v>
      </c>
      <c r="I77" s="70" t="s">
        <v>1060</v>
      </c>
      <c r="J77" s="70" t="s">
        <v>1061</v>
      </c>
    </row>
    <row r="78" spans="6:10" x14ac:dyDescent="0.3">
      <c r="F78" s="70">
        <v>10</v>
      </c>
      <c r="H78" s="70">
        <v>3</v>
      </c>
      <c r="I78" s="70" t="s">
        <v>1062</v>
      </c>
      <c r="J78" s="70" t="s">
        <v>1063</v>
      </c>
    </row>
    <row r="79" spans="6:10" x14ac:dyDescent="0.3">
      <c r="F79" s="70">
        <v>12</v>
      </c>
      <c r="H79" s="70">
        <v>1</v>
      </c>
      <c r="I79" s="70" t="s">
        <v>1064</v>
      </c>
      <c r="J79" s="70" t="s">
        <v>1065</v>
      </c>
    </row>
    <row r="80" spans="6:10" x14ac:dyDescent="0.3">
      <c r="F80" s="70">
        <v>12</v>
      </c>
      <c r="H80" s="70">
        <v>2</v>
      </c>
      <c r="I80" s="70" t="s">
        <v>1066</v>
      </c>
      <c r="J80" s="70" t="s">
        <v>1067</v>
      </c>
    </row>
    <row r="81" spans="6:10" x14ac:dyDescent="0.3">
      <c r="F81" s="70">
        <v>12</v>
      </c>
      <c r="H81" s="70">
        <v>3</v>
      </c>
      <c r="I81" s="70" t="s">
        <v>1068</v>
      </c>
      <c r="J81" s="70" t="s">
        <v>1069</v>
      </c>
    </row>
    <row r="82" spans="6:10" x14ac:dyDescent="0.3">
      <c r="F82" s="70">
        <v>12</v>
      </c>
      <c r="H82" s="70">
        <v>4</v>
      </c>
      <c r="I82" s="70" t="s">
        <v>1070</v>
      </c>
      <c r="J82" s="70" t="s">
        <v>1071</v>
      </c>
    </row>
    <row r="83" spans="6:10" x14ac:dyDescent="0.3">
      <c r="F83" s="70">
        <v>12</v>
      </c>
      <c r="H83" s="70">
        <v>5</v>
      </c>
      <c r="I83" s="70" t="s">
        <v>1072</v>
      </c>
      <c r="J83" s="70" t="s">
        <v>1073</v>
      </c>
    </row>
    <row r="84" spans="6:10" x14ac:dyDescent="0.3">
      <c r="F84" s="70">
        <v>13</v>
      </c>
      <c r="H84" s="70">
        <v>1</v>
      </c>
      <c r="I84" s="70" t="s">
        <v>1074</v>
      </c>
      <c r="J84" s="70" t="s">
        <v>1075</v>
      </c>
    </row>
    <row r="85" spans="6:10" x14ac:dyDescent="0.3">
      <c r="F85" s="70">
        <v>13</v>
      </c>
      <c r="H85" s="70">
        <v>2</v>
      </c>
      <c r="I85" s="70" t="s">
        <v>1076</v>
      </c>
      <c r="J85" s="70" t="s">
        <v>1077</v>
      </c>
    </row>
    <row r="86" spans="6:10" x14ac:dyDescent="0.3">
      <c r="F86" s="70">
        <v>13</v>
      </c>
      <c r="H86" s="70">
        <v>3</v>
      </c>
      <c r="I86" s="70" t="s">
        <v>1078</v>
      </c>
      <c r="J86" s="70" t="s">
        <v>1079</v>
      </c>
    </row>
    <row r="87" spans="6:10" x14ac:dyDescent="0.3">
      <c r="F87" s="70">
        <v>13</v>
      </c>
      <c r="H87" s="70">
        <v>4</v>
      </c>
      <c r="I87" s="70" t="s">
        <v>1064</v>
      </c>
      <c r="J87" s="70" t="s">
        <v>1080</v>
      </c>
    </row>
    <row r="88" spans="6:10" x14ac:dyDescent="0.3">
      <c r="F88" s="70">
        <v>14</v>
      </c>
      <c r="H88" s="70">
        <v>3</v>
      </c>
      <c r="I88" s="70" t="s">
        <v>1081</v>
      </c>
      <c r="J88" s="70" t="s">
        <v>1082</v>
      </c>
    </row>
    <row r="89" spans="6:10" x14ac:dyDescent="0.3">
      <c r="F89" s="70">
        <v>14</v>
      </c>
      <c r="H89" s="70">
        <v>4</v>
      </c>
      <c r="I89" s="70" t="s">
        <v>1083</v>
      </c>
      <c r="J89" s="70" t="s">
        <v>1084</v>
      </c>
    </row>
    <row r="90" spans="6:10" x14ac:dyDescent="0.3">
      <c r="F90" s="70">
        <v>14</v>
      </c>
      <c r="H90" s="70">
        <v>5</v>
      </c>
      <c r="I90" s="70" t="s">
        <v>978</v>
      </c>
      <c r="J90" s="70" t="s">
        <v>1085</v>
      </c>
    </row>
    <row r="91" spans="6:10" x14ac:dyDescent="0.3">
      <c r="F91" s="70">
        <v>14</v>
      </c>
      <c r="H91" s="70">
        <v>6</v>
      </c>
      <c r="I91" s="70" t="s">
        <v>982</v>
      </c>
      <c r="J91" s="70" t="s">
        <v>1086</v>
      </c>
    </row>
    <row r="92" spans="6:10" x14ac:dyDescent="0.3">
      <c r="F92" s="70">
        <v>14</v>
      </c>
      <c r="H92" s="70">
        <v>2</v>
      </c>
      <c r="I92" s="70" t="s">
        <v>1087</v>
      </c>
      <c r="J92" s="70" t="s">
        <v>1088</v>
      </c>
    </row>
    <row r="93" spans="6:10" x14ac:dyDescent="0.3">
      <c r="F93" s="70">
        <v>14</v>
      </c>
      <c r="H93" s="70">
        <v>7</v>
      </c>
      <c r="I93" s="70" t="s">
        <v>1089</v>
      </c>
      <c r="J93" s="70" t="s">
        <v>1090</v>
      </c>
    </row>
    <row r="94" spans="6:10" x14ac:dyDescent="0.3">
      <c r="F94" s="70">
        <v>14</v>
      </c>
      <c r="H94" s="70">
        <v>1</v>
      </c>
      <c r="I94" s="70" t="s">
        <v>992</v>
      </c>
      <c r="J94" s="70" t="s">
        <v>1091</v>
      </c>
    </row>
    <row r="95" spans="6:10" x14ac:dyDescent="0.3">
      <c r="F95" s="70">
        <v>14</v>
      </c>
      <c r="H95" s="70">
        <v>8</v>
      </c>
      <c r="I95" s="70" t="s">
        <v>995</v>
      </c>
      <c r="J95" s="70" t="s">
        <v>1092</v>
      </c>
    </row>
    <row r="96" spans="6:10" x14ac:dyDescent="0.3">
      <c r="F96" s="70">
        <v>14</v>
      </c>
      <c r="H96" s="70">
        <v>9</v>
      </c>
      <c r="I96" s="70" t="s">
        <v>1093</v>
      </c>
      <c r="J96" s="70" t="s">
        <v>1094</v>
      </c>
    </row>
    <row r="97" spans="6:10" x14ac:dyDescent="0.3">
      <c r="F97" s="70">
        <v>17</v>
      </c>
      <c r="H97" s="70">
        <v>3</v>
      </c>
      <c r="I97" s="70" t="s">
        <v>1095</v>
      </c>
      <c r="J97" s="70" t="s">
        <v>1096</v>
      </c>
    </row>
    <row r="98" spans="6:10" x14ac:dyDescent="0.3">
      <c r="F98" s="70">
        <v>17</v>
      </c>
      <c r="H98" s="70">
        <v>4</v>
      </c>
      <c r="I98" s="70" t="s">
        <v>1097</v>
      </c>
      <c r="J98" s="70" t="s">
        <v>1098</v>
      </c>
    </row>
    <row r="99" spans="6:10" x14ac:dyDescent="0.3">
      <c r="F99" s="70">
        <v>17</v>
      </c>
      <c r="H99" s="70">
        <v>5</v>
      </c>
      <c r="I99" s="70" t="s">
        <v>1099</v>
      </c>
      <c r="J99" s="70" t="s">
        <v>1100</v>
      </c>
    </row>
    <row r="100" spans="6:10" x14ac:dyDescent="0.3">
      <c r="F100" s="70">
        <v>17</v>
      </c>
      <c r="H100" s="70">
        <v>6</v>
      </c>
      <c r="I100" s="70" t="s">
        <v>1101</v>
      </c>
      <c r="J100" s="70" t="s">
        <v>1102</v>
      </c>
    </row>
    <row r="101" spans="6:10" x14ac:dyDescent="0.3">
      <c r="F101" s="70">
        <v>17</v>
      </c>
      <c r="H101" s="70">
        <v>2</v>
      </c>
      <c r="I101" s="70" t="s">
        <v>1103</v>
      </c>
      <c r="J101" s="70" t="s">
        <v>1104</v>
      </c>
    </row>
    <row r="102" spans="6:10" x14ac:dyDescent="0.3">
      <c r="F102" s="70">
        <v>17</v>
      </c>
      <c r="H102" s="70">
        <v>7</v>
      </c>
      <c r="I102" s="70" t="s">
        <v>1105</v>
      </c>
      <c r="J102" s="70" t="s">
        <v>1106</v>
      </c>
    </row>
    <row r="103" spans="6:10" x14ac:dyDescent="0.3">
      <c r="F103" s="70">
        <v>17</v>
      </c>
      <c r="H103" s="70">
        <v>8</v>
      </c>
      <c r="I103" s="70" t="s">
        <v>1107</v>
      </c>
      <c r="J103" s="70" t="s">
        <v>1108</v>
      </c>
    </row>
    <row r="104" spans="6:10" x14ac:dyDescent="0.3">
      <c r="F104" s="70">
        <v>17</v>
      </c>
      <c r="H104" s="70">
        <v>9</v>
      </c>
      <c r="I104" s="70" t="s">
        <v>1109</v>
      </c>
      <c r="J104" s="70" t="s">
        <v>1110</v>
      </c>
    </row>
    <row r="105" spans="6:10" x14ac:dyDescent="0.3">
      <c r="F105" s="70">
        <v>17</v>
      </c>
      <c r="H105" s="70">
        <v>1</v>
      </c>
      <c r="I105" s="70" t="s">
        <v>1111</v>
      </c>
      <c r="J105" s="70" t="s">
        <v>1112</v>
      </c>
    </row>
    <row r="106" spans="6:10" x14ac:dyDescent="0.3">
      <c r="F106" s="70">
        <v>17</v>
      </c>
      <c r="H106" s="70">
        <v>10</v>
      </c>
      <c r="I106" s="70" t="s">
        <v>1113</v>
      </c>
      <c r="J106" s="70" t="s">
        <v>1114</v>
      </c>
    </row>
    <row r="107" spans="6:10" x14ac:dyDescent="0.3">
      <c r="F107" s="70">
        <v>18</v>
      </c>
      <c r="H107" s="70">
        <v>1</v>
      </c>
      <c r="I107" s="70" t="s">
        <v>1115</v>
      </c>
      <c r="J107" s="70" t="s">
        <v>1116</v>
      </c>
    </row>
    <row r="108" spans="6:10" x14ac:dyDescent="0.3">
      <c r="F108" s="70">
        <v>18</v>
      </c>
      <c r="H108" s="70">
        <v>2</v>
      </c>
      <c r="I108" s="70" t="s">
        <v>1117</v>
      </c>
      <c r="J108" s="70" t="s">
        <v>1118</v>
      </c>
    </row>
    <row r="109" spans="6:10" x14ac:dyDescent="0.3">
      <c r="F109" s="70">
        <v>18</v>
      </c>
      <c r="H109" s="70">
        <v>3</v>
      </c>
      <c r="I109" s="70" t="s">
        <v>1119</v>
      </c>
      <c r="J109" s="70" t="s">
        <v>1120</v>
      </c>
    </row>
    <row r="110" spans="6:10" x14ac:dyDescent="0.3">
      <c r="F110" s="70">
        <v>18</v>
      </c>
      <c r="H110" s="70">
        <v>4</v>
      </c>
      <c r="I110" s="70" t="s">
        <v>1121</v>
      </c>
      <c r="J110" s="70" t="s">
        <v>1122</v>
      </c>
    </row>
    <row r="111" spans="6:10" x14ac:dyDescent="0.3">
      <c r="F111" s="70">
        <v>18</v>
      </c>
      <c r="H111" s="70">
        <v>5</v>
      </c>
      <c r="I111" s="70" t="s">
        <v>1123</v>
      </c>
      <c r="J111" s="70" t="s">
        <v>1124</v>
      </c>
    </row>
    <row r="112" spans="6:10" x14ac:dyDescent="0.3">
      <c r="F112" s="70">
        <v>18</v>
      </c>
      <c r="H112" s="70">
        <v>6</v>
      </c>
      <c r="I112" s="70" t="s">
        <v>1125</v>
      </c>
      <c r="J112" s="70" t="s">
        <v>1126</v>
      </c>
    </row>
    <row r="113" spans="6:10" x14ac:dyDescent="0.3">
      <c r="F113" s="70">
        <v>18</v>
      </c>
      <c r="H113" s="70">
        <v>7</v>
      </c>
      <c r="I113" s="70" t="s">
        <v>1127</v>
      </c>
      <c r="J113" s="70" t="s">
        <v>1128</v>
      </c>
    </row>
    <row r="114" spans="6:10" x14ac:dyDescent="0.3">
      <c r="F114" s="70">
        <v>18</v>
      </c>
      <c r="H114" s="70">
        <v>8</v>
      </c>
      <c r="I114" s="70" t="s">
        <v>1129</v>
      </c>
      <c r="J114" s="70" t="s">
        <v>1130</v>
      </c>
    </row>
    <row r="115" spans="6:10" x14ac:dyDescent="0.3">
      <c r="F115" s="70">
        <v>19</v>
      </c>
      <c r="H115" s="70">
        <v>1</v>
      </c>
      <c r="I115" s="70" t="s">
        <v>1131</v>
      </c>
      <c r="J115" s="70" t="s">
        <v>1132</v>
      </c>
    </row>
    <row r="116" spans="6:10" x14ac:dyDescent="0.3">
      <c r="F116" s="70">
        <v>19</v>
      </c>
      <c r="H116" s="70">
        <v>2</v>
      </c>
      <c r="I116" s="70" t="s">
        <v>1133</v>
      </c>
      <c r="J116" s="70" t="s">
        <v>1134</v>
      </c>
    </row>
    <row r="117" spans="6:10" x14ac:dyDescent="0.3">
      <c r="F117" s="70">
        <v>19</v>
      </c>
      <c r="H117" s="70">
        <v>3</v>
      </c>
      <c r="I117" s="70" t="s">
        <v>1135</v>
      </c>
      <c r="J117" s="70" t="s">
        <v>1136</v>
      </c>
    </row>
    <row r="118" spans="6:10" x14ac:dyDescent="0.3">
      <c r="F118" s="70">
        <v>19</v>
      </c>
      <c r="H118" s="70">
        <v>4</v>
      </c>
      <c r="I118" s="70" t="s">
        <v>1137</v>
      </c>
      <c r="J118" s="70" t="s">
        <v>1138</v>
      </c>
    </row>
    <row r="119" spans="6:10" x14ac:dyDescent="0.3">
      <c r="F119" s="70">
        <v>19</v>
      </c>
      <c r="H119" s="70">
        <v>5</v>
      </c>
      <c r="I119" s="70" t="s">
        <v>1139</v>
      </c>
      <c r="J119" s="70" t="s">
        <v>1140</v>
      </c>
    </row>
    <row r="120" spans="6:10" x14ac:dyDescent="0.3">
      <c r="F120" s="70">
        <v>20</v>
      </c>
      <c r="H120" s="70">
        <v>1</v>
      </c>
      <c r="I120" s="70" t="s">
        <v>1141</v>
      </c>
      <c r="J120" s="70" t="s">
        <v>1142</v>
      </c>
    </row>
    <row r="121" spans="6:10" x14ac:dyDescent="0.3">
      <c r="F121" s="70">
        <v>20</v>
      </c>
      <c r="H121" s="70">
        <v>2</v>
      </c>
      <c r="I121" s="70" t="s">
        <v>1143</v>
      </c>
      <c r="J121" s="70" t="s">
        <v>1144</v>
      </c>
    </row>
    <row r="122" spans="6:10" x14ac:dyDescent="0.3">
      <c r="F122" s="70">
        <v>20</v>
      </c>
      <c r="H122" s="70">
        <v>3</v>
      </c>
      <c r="I122" s="70" t="s">
        <v>1145</v>
      </c>
      <c r="J122" s="70" t="s">
        <v>1146</v>
      </c>
    </row>
    <row r="123" spans="6:10" x14ac:dyDescent="0.3">
      <c r="F123" s="70">
        <v>20</v>
      </c>
      <c r="H123" s="70">
        <v>4</v>
      </c>
      <c r="I123" s="70" t="s">
        <v>1147</v>
      </c>
      <c r="J123" s="70" t="s">
        <v>1148</v>
      </c>
    </row>
    <row r="124" spans="6:10" x14ac:dyDescent="0.3">
      <c r="F124" s="70">
        <v>20</v>
      </c>
      <c r="H124" s="70">
        <v>5</v>
      </c>
      <c r="I124" s="70" t="s">
        <v>1149</v>
      </c>
      <c r="J124" s="70" t="s">
        <v>1150</v>
      </c>
    </row>
    <row r="125" spans="6:10" x14ac:dyDescent="0.3">
      <c r="F125" s="70">
        <v>20</v>
      </c>
      <c r="H125" s="70">
        <v>6</v>
      </c>
      <c r="I125" s="70" t="s">
        <v>1151</v>
      </c>
      <c r="J125" s="70" t="s">
        <v>1152</v>
      </c>
    </row>
    <row r="126" spans="6:10" x14ac:dyDescent="0.3">
      <c r="F126" s="70">
        <v>20</v>
      </c>
      <c r="H126" s="70">
        <v>7</v>
      </c>
      <c r="I126" s="70" t="s">
        <v>1153</v>
      </c>
      <c r="J126" s="70" t="s">
        <v>1154</v>
      </c>
    </row>
    <row r="127" spans="6:10" x14ac:dyDescent="0.3">
      <c r="F127" s="70">
        <v>20</v>
      </c>
      <c r="H127" s="70">
        <v>8</v>
      </c>
      <c r="I127" s="70" t="s">
        <v>1155</v>
      </c>
      <c r="J127" s="70" t="s">
        <v>1156</v>
      </c>
    </row>
    <row r="128" spans="6:10" x14ac:dyDescent="0.3">
      <c r="F128" s="70">
        <v>20</v>
      </c>
      <c r="H128" s="70">
        <v>9</v>
      </c>
      <c r="I128" s="70" t="s">
        <v>1157</v>
      </c>
      <c r="J128" s="70" t="s">
        <v>1158</v>
      </c>
    </row>
    <row r="129" spans="6:10" x14ac:dyDescent="0.3">
      <c r="F129" s="70">
        <v>20</v>
      </c>
      <c r="H129" s="70">
        <v>10</v>
      </c>
      <c r="I129" s="70" t="s">
        <v>1159</v>
      </c>
      <c r="J129" s="70" t="s">
        <v>1160</v>
      </c>
    </row>
    <row r="130" spans="6:10" x14ac:dyDescent="0.3">
      <c r="F130" s="70">
        <v>20</v>
      </c>
      <c r="H130" s="70">
        <v>11</v>
      </c>
      <c r="I130" s="70" t="s">
        <v>1161</v>
      </c>
      <c r="J130" s="70" t="s">
        <v>1162</v>
      </c>
    </row>
    <row r="131" spans="6:10" x14ac:dyDescent="0.3">
      <c r="F131" s="70">
        <v>20</v>
      </c>
      <c r="H131" s="70">
        <v>12</v>
      </c>
      <c r="I131" s="70" t="s">
        <v>1163</v>
      </c>
      <c r="J131" s="70" t="s">
        <v>1164</v>
      </c>
    </row>
    <row r="132" spans="6:10" x14ac:dyDescent="0.3">
      <c r="F132" s="70">
        <v>20</v>
      </c>
      <c r="H132" s="70">
        <v>13</v>
      </c>
      <c r="I132" s="70" t="s">
        <v>1165</v>
      </c>
      <c r="J132" s="70" t="s">
        <v>1166</v>
      </c>
    </row>
    <row r="133" spans="6:10" x14ac:dyDescent="0.3">
      <c r="F133" s="70">
        <v>20</v>
      </c>
      <c r="H133" s="70">
        <v>14</v>
      </c>
      <c r="I133" s="70" t="s">
        <v>1167</v>
      </c>
      <c r="J133" s="70" t="s">
        <v>1168</v>
      </c>
    </row>
    <row r="134" spans="6:10" x14ac:dyDescent="0.3">
      <c r="F134" s="70">
        <v>20</v>
      </c>
      <c r="H134" s="70">
        <v>15</v>
      </c>
      <c r="I134" s="70" t="s">
        <v>1169</v>
      </c>
      <c r="J134" s="70" t="s">
        <v>1170</v>
      </c>
    </row>
    <row r="135" spans="6:10" x14ac:dyDescent="0.3">
      <c r="F135" s="70">
        <v>20</v>
      </c>
      <c r="H135" s="70">
        <v>16</v>
      </c>
      <c r="I135" s="70" t="s">
        <v>1171</v>
      </c>
      <c r="J135" s="70" t="s">
        <v>1172</v>
      </c>
    </row>
    <row r="136" spans="6:10" x14ac:dyDescent="0.3">
      <c r="F136" s="70">
        <v>21</v>
      </c>
      <c r="H136" s="70">
        <v>1</v>
      </c>
      <c r="I136" s="70" t="s">
        <v>1173</v>
      </c>
      <c r="J136" s="70" t="s">
        <v>1174</v>
      </c>
    </row>
    <row r="137" spans="6:10" x14ac:dyDescent="0.3">
      <c r="F137" s="70">
        <v>21</v>
      </c>
      <c r="H137" s="70">
        <v>2</v>
      </c>
      <c r="I137" s="70" t="s">
        <v>1175</v>
      </c>
      <c r="J137" s="70" t="s">
        <v>1176</v>
      </c>
    </row>
    <row r="138" spans="6:10" x14ac:dyDescent="0.3">
      <c r="F138" s="70">
        <v>21</v>
      </c>
      <c r="H138" s="70">
        <v>3</v>
      </c>
      <c r="I138" s="70" t="s">
        <v>1177</v>
      </c>
      <c r="J138" s="70" t="s">
        <v>1178</v>
      </c>
    </row>
    <row r="139" spans="6:10" x14ac:dyDescent="0.3">
      <c r="F139" s="70">
        <v>21</v>
      </c>
      <c r="H139" s="70">
        <v>4</v>
      </c>
      <c r="I139" s="70" t="s">
        <v>1179</v>
      </c>
      <c r="J139" s="70" t="s">
        <v>1180</v>
      </c>
    </row>
    <row r="140" spans="6:10" x14ac:dyDescent="0.3">
      <c r="F140" s="70">
        <v>21</v>
      </c>
      <c r="H140" s="70">
        <v>5</v>
      </c>
      <c r="I140" s="70" t="s">
        <v>1181</v>
      </c>
      <c r="J140" s="70" t="s">
        <v>1182</v>
      </c>
    </row>
    <row r="141" spans="6:10" x14ac:dyDescent="0.3">
      <c r="F141" s="70">
        <v>21</v>
      </c>
      <c r="H141" s="70">
        <v>6</v>
      </c>
      <c r="I141" s="70" t="s">
        <v>1183</v>
      </c>
      <c r="J141" s="70" t="s">
        <v>1184</v>
      </c>
    </row>
    <row r="142" spans="6:10" x14ac:dyDescent="0.3">
      <c r="F142" s="70">
        <v>21</v>
      </c>
      <c r="H142" s="70">
        <v>7</v>
      </c>
      <c r="I142" s="70" t="s">
        <v>1185</v>
      </c>
      <c r="J142" s="70" t="s">
        <v>1186</v>
      </c>
    </row>
    <row r="143" spans="6:10" x14ac:dyDescent="0.3">
      <c r="F143" s="70">
        <v>21</v>
      </c>
      <c r="H143" s="70">
        <v>8</v>
      </c>
      <c r="I143" s="70" t="s">
        <v>1187</v>
      </c>
      <c r="J143" s="70" t="s">
        <v>1188</v>
      </c>
    </row>
    <row r="144" spans="6:10" x14ac:dyDescent="0.3">
      <c r="F144" s="70">
        <v>21</v>
      </c>
      <c r="H144" s="70">
        <v>9</v>
      </c>
      <c r="I144" s="70" t="s">
        <v>1189</v>
      </c>
      <c r="J144" s="70" t="s">
        <v>1190</v>
      </c>
    </row>
    <row r="145" spans="6:10" x14ac:dyDescent="0.3">
      <c r="F145" s="70">
        <v>21</v>
      </c>
      <c r="H145" s="70">
        <v>10</v>
      </c>
      <c r="I145" s="70" t="s">
        <v>1191</v>
      </c>
      <c r="J145" s="70" t="s">
        <v>1192</v>
      </c>
    </row>
    <row r="146" spans="6:10" x14ac:dyDescent="0.3">
      <c r="F146" s="70">
        <v>21</v>
      </c>
      <c r="H146" s="70">
        <v>11</v>
      </c>
      <c r="I146" s="70" t="s">
        <v>1193</v>
      </c>
      <c r="J146" s="70" t="s">
        <v>1194</v>
      </c>
    </row>
    <row r="147" spans="6:10" x14ac:dyDescent="0.3">
      <c r="F147" s="70">
        <v>21</v>
      </c>
      <c r="H147" s="70">
        <v>12</v>
      </c>
      <c r="I147" s="70" t="s">
        <v>1195</v>
      </c>
      <c r="J147" s="70" t="s">
        <v>1196</v>
      </c>
    </row>
    <row r="148" spans="6:10" x14ac:dyDescent="0.3">
      <c r="F148" s="70">
        <v>21</v>
      </c>
      <c r="H148" s="70">
        <v>13</v>
      </c>
      <c r="I148" s="70" t="s">
        <v>1197</v>
      </c>
      <c r="J148" s="70" t="s">
        <v>1198</v>
      </c>
    </row>
    <row r="149" spans="6:10" x14ac:dyDescent="0.3">
      <c r="F149" s="70">
        <v>21</v>
      </c>
      <c r="H149" s="70">
        <v>14</v>
      </c>
      <c r="I149" s="70" t="s">
        <v>1199</v>
      </c>
      <c r="J149" s="70" t="s">
        <v>1200</v>
      </c>
    </row>
    <row r="150" spans="6:10" x14ac:dyDescent="0.3">
      <c r="F150" s="70">
        <v>22</v>
      </c>
      <c r="H150" s="70">
        <v>1</v>
      </c>
      <c r="I150" s="70" t="s">
        <v>1201</v>
      </c>
      <c r="J150" s="70" t="s">
        <v>1202</v>
      </c>
    </row>
    <row r="151" spans="6:10" x14ac:dyDescent="0.3">
      <c r="F151" s="70">
        <v>22</v>
      </c>
      <c r="H151" s="70">
        <v>2</v>
      </c>
      <c r="I151" s="70" t="s">
        <v>1203</v>
      </c>
      <c r="J151" s="70" t="s">
        <v>1204</v>
      </c>
    </row>
    <row r="152" spans="6:10" x14ac:dyDescent="0.3">
      <c r="F152" s="70">
        <v>23</v>
      </c>
      <c r="H152" s="70">
        <v>1</v>
      </c>
      <c r="I152" s="70" t="s">
        <v>1205</v>
      </c>
      <c r="J152" s="70" t="s">
        <v>1206</v>
      </c>
    </row>
    <row r="153" spans="6:10" x14ac:dyDescent="0.3">
      <c r="F153" s="70">
        <v>23</v>
      </c>
      <c r="H153" s="70">
        <v>2</v>
      </c>
      <c r="I153" s="70" t="s">
        <v>1207</v>
      </c>
      <c r="J153" s="70" t="s">
        <v>1208</v>
      </c>
    </row>
    <row r="154" spans="6:10" x14ac:dyDescent="0.3">
      <c r="F154" s="70">
        <v>23</v>
      </c>
      <c r="H154" s="70">
        <v>3</v>
      </c>
      <c r="I154" s="70" t="s">
        <v>1209</v>
      </c>
      <c r="J154" s="70" t="s">
        <v>1210</v>
      </c>
    </row>
    <row r="155" spans="6:10" x14ac:dyDescent="0.3">
      <c r="F155" s="70">
        <v>23</v>
      </c>
      <c r="H155" s="70">
        <v>4</v>
      </c>
      <c r="I155" s="70" t="s">
        <v>1211</v>
      </c>
      <c r="J155" s="70" t="s">
        <v>1212</v>
      </c>
    </row>
    <row r="156" spans="6:10" x14ac:dyDescent="0.3">
      <c r="F156" s="70">
        <v>23</v>
      </c>
      <c r="H156" s="70">
        <v>5</v>
      </c>
      <c r="I156" s="70" t="s">
        <v>1213</v>
      </c>
      <c r="J156" s="70" t="s">
        <v>1214</v>
      </c>
    </row>
    <row r="157" spans="6:10" x14ac:dyDescent="0.3">
      <c r="F157" s="70">
        <v>23</v>
      </c>
      <c r="H157" s="70">
        <v>6</v>
      </c>
      <c r="I157" s="70" t="s">
        <v>1215</v>
      </c>
      <c r="J157" s="70" t="s">
        <v>1216</v>
      </c>
    </row>
    <row r="158" spans="6:10" x14ac:dyDescent="0.3">
      <c r="F158" s="70">
        <v>24</v>
      </c>
      <c r="H158" s="70">
        <v>1</v>
      </c>
      <c r="I158" s="70" t="s">
        <v>1070</v>
      </c>
      <c r="J158" s="70" t="s">
        <v>1217</v>
      </c>
    </row>
    <row r="159" spans="6:10" x14ac:dyDescent="0.3">
      <c r="F159" s="70">
        <v>24</v>
      </c>
      <c r="H159" s="70">
        <v>2</v>
      </c>
      <c r="I159" s="70" t="s">
        <v>1218</v>
      </c>
      <c r="J159" s="70" t="s">
        <v>1219</v>
      </c>
    </row>
    <row r="160" spans="6:10" x14ac:dyDescent="0.3">
      <c r="F160" s="70">
        <v>24</v>
      </c>
      <c r="H160" s="70">
        <v>3</v>
      </c>
      <c r="I160" s="70" t="s">
        <v>1220</v>
      </c>
      <c r="J160" s="70" t="s">
        <v>1221</v>
      </c>
    </row>
    <row r="161" spans="6:10" x14ac:dyDescent="0.3">
      <c r="F161" s="70">
        <v>24</v>
      </c>
      <c r="H161" s="70">
        <v>4</v>
      </c>
      <c r="I161" s="70" t="s">
        <v>1072</v>
      </c>
      <c r="J161" s="70" t="s">
        <v>1222</v>
      </c>
    </row>
    <row r="162" spans="6:10" x14ac:dyDescent="0.3">
      <c r="F162" s="70">
        <v>24</v>
      </c>
      <c r="H162" s="70">
        <v>5</v>
      </c>
      <c r="I162" s="70" t="s">
        <v>1223</v>
      </c>
      <c r="J162" s="70" t="s">
        <v>1224</v>
      </c>
    </row>
    <row r="163" spans="6:10" x14ac:dyDescent="0.3">
      <c r="F163" s="70">
        <v>25</v>
      </c>
      <c r="H163" s="70">
        <v>1</v>
      </c>
      <c r="I163" s="70" t="s">
        <v>1015</v>
      </c>
      <c r="J163" s="70" t="s">
        <v>1225</v>
      </c>
    </row>
    <row r="164" spans="6:10" x14ac:dyDescent="0.3">
      <c r="F164" s="70">
        <v>25</v>
      </c>
      <c r="H164" s="70">
        <v>2</v>
      </c>
      <c r="I164" s="70" t="s">
        <v>1017</v>
      </c>
      <c r="J164" s="70" t="s">
        <v>1226</v>
      </c>
    </row>
    <row r="165" spans="6:10" x14ac:dyDescent="0.3">
      <c r="F165" s="70">
        <v>25</v>
      </c>
      <c r="H165" s="70">
        <v>3</v>
      </c>
      <c r="I165" s="70" t="s">
        <v>1019</v>
      </c>
      <c r="J165" s="70" t="s">
        <v>1227</v>
      </c>
    </row>
    <row r="166" spans="6:10" x14ac:dyDescent="0.3">
      <c r="F166" s="70">
        <v>25</v>
      </c>
      <c r="H166" s="70">
        <v>4</v>
      </c>
      <c r="I166" s="70" t="s">
        <v>1021</v>
      </c>
      <c r="J166" s="70" t="s">
        <v>1228</v>
      </c>
    </row>
    <row r="167" spans="6:10" x14ac:dyDescent="0.3">
      <c r="F167" s="70">
        <v>25</v>
      </c>
      <c r="H167" s="70">
        <v>5</v>
      </c>
      <c r="I167" s="70" t="s">
        <v>1023</v>
      </c>
      <c r="J167" s="70" t="s">
        <v>1229</v>
      </c>
    </row>
    <row r="168" spans="6:10" x14ac:dyDescent="0.3">
      <c r="F168" s="70">
        <v>25</v>
      </c>
      <c r="H168" s="70">
        <v>6</v>
      </c>
      <c r="I168" s="70" t="s">
        <v>1025</v>
      </c>
      <c r="J168" s="70" t="s">
        <v>1230</v>
      </c>
    </row>
  </sheetData>
  <sheetProtection password="DB3D" sheet="1" objects="1" scenarios="1"/>
  <autoFilter ref="H19:H168" xr:uid="{00000000-0009-0000-0000-00000C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L12:O36"/>
  <sheetViews>
    <sheetView workbookViewId="0">
      <selection activeCell="L12" sqref="L12 L12"/>
    </sheetView>
  </sheetViews>
  <sheetFormatPr defaultRowHeight="14.4" x14ac:dyDescent="0.3"/>
  <sheetData>
    <row r="12" spans="12:12" x14ac:dyDescent="0.3">
      <c r="L12" s="70"/>
    </row>
    <row r="36" spans="15:15" x14ac:dyDescent="0.3">
      <c r="O36" s="70"/>
    </row>
  </sheetData>
  <sheetProtection password="DB3D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M391"/>
  <sheetViews>
    <sheetView tabSelected="1" topLeftCell="A316" zoomScaleNormal="100" zoomScaleSheetLayoutView="100" workbookViewId="0">
      <selection activeCell="D185" sqref="D185"/>
    </sheetView>
  </sheetViews>
  <sheetFormatPr defaultColWidth="9.109375" defaultRowHeight="21" customHeight="1" x14ac:dyDescent="0.3"/>
  <cols>
    <col min="1" max="1" width="34.109375" style="77" customWidth="1"/>
    <col min="2" max="2" width="13.6640625" style="77" customWidth="1"/>
    <col min="3" max="3" width="14" style="77" customWidth="1"/>
    <col min="4" max="8" width="13.6640625" style="77" customWidth="1"/>
    <col min="9" max="9" width="4.5546875" style="77" customWidth="1"/>
    <col min="10" max="10" width="155.88671875" style="82" customWidth="1"/>
    <col min="11" max="11" width="14.5546875" style="77" customWidth="1"/>
    <col min="12" max="12" width="12.44140625" style="77" customWidth="1"/>
    <col min="13" max="13" width="14.33203125" style="77" customWidth="1"/>
    <col min="14" max="14" width="9.109375" style="77" customWidth="1"/>
    <col min="15" max="15" width="12.109375" style="77" customWidth="1"/>
    <col min="16" max="16" width="14.6640625" style="77" customWidth="1"/>
    <col min="17" max="17" width="15.5546875" style="77" customWidth="1"/>
    <col min="18" max="18" width="9.109375" style="77" customWidth="1"/>
    <col min="19" max="16384" width="9.109375" style="77"/>
  </cols>
  <sheetData>
    <row r="1" spans="1:11" customFormat="1" ht="21" customHeight="1" x14ac:dyDescent="0.3">
      <c r="A1" s="80" t="s">
        <v>7</v>
      </c>
      <c r="B1" s="77"/>
      <c r="C1" s="343" t="str">
        <f>SourceData!B1</f>
        <v>GARPENBERGS ÄLGSKÖTSELOMRÅDE</v>
      </c>
      <c r="D1" s="344"/>
      <c r="E1" s="345"/>
      <c r="F1" s="77"/>
      <c r="G1" s="77"/>
      <c r="J1" s="337" t="s">
        <v>8</v>
      </c>
      <c r="K1" s="337"/>
    </row>
    <row r="2" spans="1:11" customFormat="1" ht="21" customHeight="1" x14ac:dyDescent="0.3">
      <c r="A2" s="83" t="s">
        <v>9</v>
      </c>
      <c r="B2" s="83"/>
      <c r="C2" s="77"/>
      <c r="D2" s="83"/>
      <c r="E2" s="83"/>
    </row>
    <row r="3" spans="1:11" customFormat="1" ht="66" customHeight="1" x14ac:dyDescent="0.3">
      <c r="A3" s="84" t="s">
        <v>10</v>
      </c>
      <c r="B3" s="84"/>
      <c r="C3" s="85"/>
      <c r="D3" s="85"/>
      <c r="E3" s="85"/>
    </row>
    <row r="4" spans="1:11" customFormat="1" ht="21" customHeight="1" x14ac:dyDescent="0.3">
      <c r="A4" s="84" t="s">
        <v>11</v>
      </c>
      <c r="B4" s="84"/>
      <c r="C4" s="85"/>
      <c r="D4" s="85"/>
      <c r="E4" s="85"/>
    </row>
    <row r="5" spans="1:11" customFormat="1" ht="21" customHeight="1" x14ac:dyDescent="0.3">
      <c r="A5" s="83"/>
      <c r="B5" s="83"/>
      <c r="C5" s="86"/>
      <c r="D5" s="77"/>
      <c r="E5" s="87"/>
    </row>
    <row r="6" spans="1:11" customFormat="1" ht="21" customHeight="1" x14ac:dyDescent="0.3">
      <c r="A6" s="88" t="s">
        <v>12</v>
      </c>
      <c r="B6" s="88"/>
      <c r="C6" s="89">
        <v>42914</v>
      </c>
      <c r="E6" s="77"/>
      <c r="F6" s="77"/>
      <c r="J6" s="82" t="s">
        <v>13</v>
      </c>
    </row>
    <row r="7" spans="1:11" customFormat="1" ht="21" customHeight="1" x14ac:dyDescent="0.3">
      <c r="A7" s="88"/>
      <c r="B7" s="88"/>
      <c r="C7" s="12"/>
      <c r="D7" s="12"/>
      <c r="E7" s="12"/>
    </row>
    <row r="8" spans="1:11" customFormat="1" ht="21" customHeight="1" x14ac:dyDescent="0.3">
      <c r="A8" s="77" t="s">
        <v>14</v>
      </c>
      <c r="B8" s="77"/>
      <c r="C8" s="81" t="s">
        <v>1239</v>
      </c>
      <c r="D8" s="28"/>
      <c r="E8" s="29"/>
      <c r="J8" s="82" t="s">
        <v>15</v>
      </c>
    </row>
    <row r="9" spans="1:11" customFormat="1" ht="21" customHeight="1" x14ac:dyDescent="0.3">
      <c r="A9" s="77" t="s">
        <v>16</v>
      </c>
      <c r="C9" s="90">
        <f>SourceData!B3</f>
        <v>2017</v>
      </c>
      <c r="D9" s="14" t="s">
        <v>17</v>
      </c>
      <c r="E9" s="90">
        <f>SourceData!B4</f>
        <v>2019</v>
      </c>
      <c r="J9" s="82" t="s">
        <v>18</v>
      </c>
    </row>
    <row r="10" spans="1:11" customFormat="1" ht="21" customHeight="1" x14ac:dyDescent="0.3">
      <c r="A10" s="77" t="s">
        <v>19</v>
      </c>
      <c r="C10" s="319"/>
      <c r="D10" s="320"/>
      <c r="E10" s="321"/>
      <c r="J10" s="82" t="s">
        <v>20</v>
      </c>
    </row>
    <row r="11" spans="1:11" customFormat="1" ht="21" customHeight="1" x14ac:dyDescent="0.3">
      <c r="A11" s="77" t="s">
        <v>21</v>
      </c>
      <c r="C11" s="324" t="s">
        <v>903</v>
      </c>
      <c r="D11" s="325"/>
      <c r="E11" s="326"/>
      <c r="J11" s="82" t="s">
        <v>22</v>
      </c>
    </row>
    <row r="12" spans="1:11" customFormat="1" ht="51.75" customHeight="1" x14ac:dyDescent="0.35">
      <c r="A12" s="91" t="s">
        <v>23</v>
      </c>
      <c r="C12" s="92">
        <f>SourceData!B6</f>
        <v>44370</v>
      </c>
      <c r="D12" s="30"/>
      <c r="E12" s="31"/>
      <c r="J12" s="82" t="s">
        <v>24</v>
      </c>
    </row>
    <row r="13" spans="1:11" customFormat="1" ht="21" customHeight="1" x14ac:dyDescent="0.3">
      <c r="A13" s="93" t="s">
        <v>25</v>
      </c>
      <c r="B13" s="93"/>
      <c r="C13" s="94"/>
      <c r="D13" s="333" t="s">
        <v>26</v>
      </c>
      <c r="E13" s="334"/>
      <c r="F13" s="77"/>
    </row>
    <row r="14" spans="1:11" customFormat="1" ht="21" customHeight="1" x14ac:dyDescent="0.3">
      <c r="A14" s="77" t="s">
        <v>27</v>
      </c>
      <c r="C14" s="301" t="str">
        <f>SourceData!B8</f>
        <v>Länsstyrelsen  Dalarnas län</v>
      </c>
      <c r="D14" s="302"/>
      <c r="E14" s="303"/>
      <c r="F14" s="95">
        <f>SUMIF(Faktorer!C20:C39,C14,Faktorer!D20:D39)</f>
        <v>0</v>
      </c>
      <c r="J14" s="82" t="s">
        <v>28</v>
      </c>
    </row>
    <row r="15" spans="1:11" customFormat="1" ht="21" customHeight="1" x14ac:dyDescent="0.3">
      <c r="A15" s="77" t="s">
        <v>29</v>
      </c>
      <c r="C15" s="327"/>
      <c r="D15" s="328"/>
      <c r="E15" s="329"/>
      <c r="F15" s="95"/>
      <c r="J15" s="82" t="s">
        <v>30</v>
      </c>
    </row>
    <row r="16" spans="1:11" customFormat="1" ht="21" customHeight="1" x14ac:dyDescent="0.3">
      <c r="A16" s="77" t="s">
        <v>31</v>
      </c>
      <c r="C16" s="301" t="str">
        <f>SourceData!B9</f>
        <v>Gävle-Dala ÄFO</v>
      </c>
      <c r="D16" s="302"/>
      <c r="E16" s="303"/>
      <c r="J16" s="82" t="s">
        <v>32</v>
      </c>
    </row>
    <row r="17" spans="1:10" customFormat="1" ht="21" customHeight="1" x14ac:dyDescent="0.3">
      <c r="A17" s="77" t="s">
        <v>33</v>
      </c>
      <c r="C17" s="330"/>
      <c r="D17" s="331"/>
      <c r="E17" s="332"/>
      <c r="J17" s="82" t="s">
        <v>32</v>
      </c>
    </row>
    <row r="18" spans="1:10" customFormat="1" ht="21" customHeight="1" x14ac:dyDescent="0.3">
      <c r="A18" s="77"/>
      <c r="B18" s="96"/>
      <c r="C18" s="83"/>
      <c r="D18" s="83"/>
    </row>
    <row r="19" spans="1:10" customFormat="1" ht="21" customHeight="1" x14ac:dyDescent="0.3">
      <c r="A19" s="83" t="s">
        <v>34</v>
      </c>
      <c r="B19" s="96"/>
      <c r="C19" s="83"/>
      <c r="D19" s="83"/>
    </row>
    <row r="20" spans="1:10" customFormat="1" ht="21" customHeight="1" x14ac:dyDescent="0.3">
      <c r="A20" s="93" t="s">
        <v>35</v>
      </c>
      <c r="B20" s="96"/>
      <c r="C20" s="83"/>
      <c r="D20" s="93" t="s">
        <v>36</v>
      </c>
    </row>
    <row r="21" spans="1:10" customFormat="1" ht="21" customHeight="1" x14ac:dyDescent="0.3">
      <c r="A21" s="341" t="s">
        <v>1231</v>
      </c>
      <c r="B21" s="342"/>
      <c r="C21" s="83"/>
      <c r="D21" s="341" t="s">
        <v>1232</v>
      </c>
      <c r="E21" s="342"/>
      <c r="J21" s="82" t="s">
        <v>37</v>
      </c>
    </row>
    <row r="22" spans="1:10" customFormat="1" ht="21" customHeight="1" x14ac:dyDescent="0.3">
      <c r="A22" s="93" t="s">
        <v>38</v>
      </c>
      <c r="B22" s="86"/>
      <c r="C22" s="83"/>
      <c r="D22" s="93" t="s">
        <v>39</v>
      </c>
    </row>
    <row r="23" spans="1:10" customFormat="1" ht="21" customHeight="1" x14ac:dyDescent="0.3">
      <c r="A23" s="341" t="s">
        <v>1233</v>
      </c>
      <c r="B23" s="342"/>
      <c r="C23" s="83"/>
      <c r="D23" s="341" t="s">
        <v>1232</v>
      </c>
      <c r="E23" s="342"/>
    </row>
    <row r="24" spans="1:10" customFormat="1" ht="21" customHeight="1" x14ac:dyDescent="0.3">
      <c r="A24" s="93" t="s">
        <v>40</v>
      </c>
      <c r="B24" s="86"/>
      <c r="C24" s="83"/>
      <c r="D24" s="83"/>
    </row>
    <row r="25" spans="1:10" customFormat="1" ht="21" customHeight="1" x14ac:dyDescent="0.3">
      <c r="A25" s="341" t="s">
        <v>1234</v>
      </c>
      <c r="B25" s="342"/>
      <c r="C25" s="83"/>
      <c r="D25" s="83"/>
    </row>
    <row r="26" spans="1:10" customFormat="1" ht="21" customHeight="1" x14ac:dyDescent="0.3">
      <c r="A26" s="93" t="s">
        <v>41</v>
      </c>
      <c r="B26" s="86"/>
      <c r="C26" s="83"/>
      <c r="D26" s="83"/>
    </row>
    <row r="27" spans="1:10" customFormat="1" ht="21" customHeight="1" x14ac:dyDescent="0.3">
      <c r="A27" s="341" t="s">
        <v>1235</v>
      </c>
      <c r="B27" s="342"/>
      <c r="C27" s="83"/>
      <c r="D27" s="83"/>
    </row>
    <row r="28" spans="1:10" customFormat="1" ht="21" customHeight="1" x14ac:dyDescent="0.3">
      <c r="A28" s="83" t="s">
        <v>42</v>
      </c>
    </row>
    <row r="29" spans="1:10" customFormat="1" ht="21" customHeight="1" x14ac:dyDescent="0.3">
      <c r="A29" s="83"/>
      <c r="B29" s="86"/>
      <c r="C29" s="83"/>
      <c r="D29" s="83"/>
      <c r="J29" s="82" t="s">
        <v>43</v>
      </c>
    </row>
    <row r="30" spans="1:10" customFormat="1" ht="21" customHeight="1" x14ac:dyDescent="0.3">
      <c r="A30" s="83"/>
      <c r="B30" s="86"/>
      <c r="C30" s="83"/>
      <c r="D30" s="83"/>
      <c r="J30" s="82" t="s">
        <v>44</v>
      </c>
    </row>
    <row r="31" spans="1:10" customFormat="1" ht="21" customHeight="1" x14ac:dyDescent="0.3">
      <c r="A31" s="83"/>
      <c r="B31" s="86"/>
      <c r="C31" s="83"/>
      <c r="D31" s="83"/>
      <c r="J31" s="82" t="s">
        <v>45</v>
      </c>
    </row>
    <row r="32" spans="1:10" customFormat="1" ht="21" customHeight="1" x14ac:dyDescent="0.3">
      <c r="A32" s="83" t="s">
        <v>46</v>
      </c>
      <c r="B32" s="86"/>
      <c r="C32" s="83"/>
      <c r="D32" s="83"/>
    </row>
    <row r="33" spans="1:10" customFormat="1" ht="21" customHeight="1" x14ac:dyDescent="0.3">
      <c r="A33" s="83"/>
      <c r="B33" s="86"/>
      <c r="C33" s="341"/>
      <c r="D33" s="342"/>
      <c r="E33" s="77"/>
      <c r="F33" s="77"/>
    </row>
    <row r="34" spans="1:10" customFormat="1" ht="21" customHeight="1" x14ac:dyDescent="0.3">
      <c r="A34" s="93" t="s">
        <v>47</v>
      </c>
      <c r="B34" s="86"/>
      <c r="C34" s="83"/>
      <c r="D34" s="83"/>
      <c r="J34" s="82"/>
    </row>
    <row r="35" spans="1:10" customFormat="1" ht="21" customHeight="1" x14ac:dyDescent="0.3">
      <c r="A35" s="338"/>
      <c r="B35" s="339"/>
      <c r="C35" s="83"/>
      <c r="D35" s="83"/>
      <c r="J35" s="82" t="s">
        <v>48</v>
      </c>
    </row>
    <row r="36" spans="1:10" customFormat="1" ht="21" customHeight="1" x14ac:dyDescent="0.3">
      <c r="A36" s="83" t="s">
        <v>49</v>
      </c>
      <c r="B36" s="86"/>
      <c r="C36" s="83"/>
      <c r="D36" s="83"/>
    </row>
    <row r="37" spans="1:10" customFormat="1" ht="21" customHeight="1" x14ac:dyDescent="0.3">
      <c r="A37" s="93" t="s">
        <v>50</v>
      </c>
      <c r="B37" s="86"/>
      <c r="C37" s="83"/>
      <c r="D37" s="83"/>
      <c r="J37" s="82" t="s">
        <v>51</v>
      </c>
    </row>
    <row r="38" spans="1:10" customFormat="1" ht="21" customHeight="1" x14ac:dyDescent="0.3">
      <c r="A38" s="93" t="s">
        <v>52</v>
      </c>
      <c r="B38" s="86"/>
      <c r="C38" s="83"/>
      <c r="D38" s="83"/>
    </row>
    <row r="39" spans="1:10" customFormat="1" ht="18.75" customHeight="1" x14ac:dyDescent="0.4">
      <c r="A39" s="97"/>
    </row>
    <row r="40" spans="1:10" customFormat="1" ht="23.25" customHeight="1" x14ac:dyDescent="0.5">
      <c r="A40" s="98" t="s">
        <v>53</v>
      </c>
    </row>
    <row r="41" spans="1:10" customFormat="1" ht="13.5" customHeight="1" x14ac:dyDescent="0.35">
      <c r="A41" s="99"/>
    </row>
    <row r="42" spans="1:10" customFormat="1" ht="55.5" customHeight="1" x14ac:dyDescent="0.35">
      <c r="A42" s="304" t="s">
        <v>54</v>
      </c>
      <c r="B42" s="304"/>
      <c r="C42" s="304"/>
      <c r="D42" s="304"/>
      <c r="E42" s="304"/>
      <c r="F42" s="304"/>
      <c r="G42" s="304"/>
      <c r="H42" s="100"/>
    </row>
    <row r="43" spans="1:10" customFormat="1" ht="10.5" customHeight="1" x14ac:dyDescent="0.3">
      <c r="A43" s="101"/>
      <c r="B43" s="101"/>
      <c r="C43" s="101"/>
      <c r="D43" s="101"/>
      <c r="E43" s="101"/>
      <c r="F43" s="101"/>
      <c r="G43" s="101"/>
      <c r="J43" s="82"/>
    </row>
    <row r="44" spans="1:10" customFormat="1" ht="133.5" customHeight="1" x14ac:dyDescent="0.35">
      <c r="A44" s="305" t="s">
        <v>55</v>
      </c>
      <c r="B44" s="305"/>
      <c r="C44" s="305"/>
      <c r="D44" s="305"/>
      <c r="E44" s="305"/>
      <c r="F44" s="305"/>
      <c r="G44" s="305"/>
      <c r="H44" s="102"/>
      <c r="J44" s="103"/>
    </row>
    <row r="45" spans="1:10" customFormat="1" ht="9.75" customHeight="1" x14ac:dyDescent="0.3">
      <c r="A45" s="101"/>
      <c r="B45" s="101"/>
      <c r="C45" s="101"/>
      <c r="D45" s="101"/>
      <c r="E45" s="101"/>
      <c r="F45" s="101"/>
      <c r="G45" s="101"/>
      <c r="J45" s="82"/>
    </row>
    <row r="46" spans="1:10" customFormat="1" ht="20.25" customHeight="1" x14ac:dyDescent="0.35">
      <c r="A46" s="308" t="s">
        <v>56</v>
      </c>
      <c r="B46" s="308"/>
      <c r="C46" s="308"/>
      <c r="D46" s="308"/>
      <c r="E46" s="308"/>
      <c r="F46" s="308"/>
      <c r="G46" s="308"/>
      <c r="H46" s="104"/>
      <c r="J46" s="82"/>
    </row>
    <row r="47" spans="1:10" customFormat="1" ht="9.75" customHeight="1" x14ac:dyDescent="0.3">
      <c r="A47" s="101"/>
      <c r="B47" s="101"/>
      <c r="C47" s="101"/>
      <c r="D47" s="101"/>
      <c r="E47" s="101"/>
      <c r="F47" s="101"/>
      <c r="G47" s="101"/>
      <c r="J47" s="82"/>
    </row>
    <row r="48" spans="1:10" customFormat="1" ht="74.25" customHeight="1" x14ac:dyDescent="0.35">
      <c r="A48" s="306" t="s">
        <v>57</v>
      </c>
      <c r="B48" s="306"/>
      <c r="C48" s="306"/>
      <c r="D48" s="306"/>
      <c r="E48" s="306"/>
      <c r="F48" s="306"/>
      <c r="G48" s="306"/>
      <c r="H48" s="105"/>
    </row>
    <row r="49" spans="1:10" customFormat="1" ht="10.5" customHeight="1" x14ac:dyDescent="0.3">
      <c r="A49" s="101"/>
      <c r="B49" s="101"/>
      <c r="C49" s="101"/>
      <c r="D49" s="101"/>
      <c r="E49" s="101"/>
      <c r="F49" s="101"/>
      <c r="G49" s="101"/>
      <c r="J49" s="82"/>
    </row>
    <row r="50" spans="1:10" customFormat="1" ht="95.25" customHeight="1" x14ac:dyDescent="0.35">
      <c r="A50" s="307" t="s">
        <v>58</v>
      </c>
      <c r="B50" s="307"/>
      <c r="C50" s="307"/>
      <c r="D50" s="307"/>
      <c r="E50" s="307"/>
      <c r="F50" s="307"/>
      <c r="G50" s="307"/>
      <c r="H50" s="106"/>
    </row>
    <row r="51" spans="1:10" customFormat="1" ht="81.75" customHeight="1" x14ac:dyDescent="0.3">
      <c r="A51" s="101"/>
      <c r="B51" s="101"/>
    </row>
    <row r="52" spans="1:10" customFormat="1" ht="81.75" customHeight="1" x14ac:dyDescent="0.3">
      <c r="A52" s="101"/>
      <c r="B52" s="101"/>
    </row>
    <row r="53" spans="1:10" customFormat="1" ht="81.75" customHeight="1" x14ac:dyDescent="0.3">
      <c r="A53" s="101"/>
      <c r="B53" s="101"/>
    </row>
    <row r="55" spans="1:10" customFormat="1" ht="21" customHeight="1" x14ac:dyDescent="0.3">
      <c r="A55" s="107"/>
    </row>
    <row r="56" spans="1:10" customFormat="1" ht="21" customHeight="1" x14ac:dyDescent="0.3">
      <c r="A56" s="107"/>
    </row>
    <row r="57" spans="1:10" customFormat="1" ht="21" customHeight="1" x14ac:dyDescent="0.3">
      <c r="A57" s="107"/>
    </row>
    <row r="58" spans="1:10" customFormat="1" ht="21" customHeight="1" x14ac:dyDescent="0.45">
      <c r="A58" s="322" t="s">
        <v>59</v>
      </c>
      <c r="B58" s="322"/>
      <c r="C58" s="322"/>
      <c r="D58" s="322"/>
      <c r="E58" s="322"/>
      <c r="F58" s="322"/>
      <c r="G58" s="322"/>
      <c r="H58" s="322"/>
    </row>
    <row r="59" spans="1:10" customFormat="1" ht="21" customHeight="1" x14ac:dyDescent="0.35">
      <c r="A59" s="99"/>
      <c r="B59" s="99"/>
      <c r="C59" s="99"/>
      <c r="D59" s="99"/>
      <c r="E59" s="99"/>
      <c r="F59" s="99"/>
      <c r="G59" s="99"/>
      <c r="H59" s="99"/>
    </row>
    <row r="60" spans="1:10" customFormat="1" ht="21" customHeight="1" x14ac:dyDescent="0.4">
      <c r="A60" s="290" t="s">
        <v>60</v>
      </c>
      <c r="B60" s="290"/>
      <c r="C60" s="290"/>
      <c r="D60" s="290"/>
      <c r="E60" s="290"/>
      <c r="F60" s="290"/>
      <c r="G60" s="290"/>
      <c r="H60" s="290"/>
    </row>
    <row r="61" spans="1:10" customFormat="1" ht="21" customHeight="1" x14ac:dyDescent="0.3">
      <c r="A61" s="107" t="s">
        <v>61</v>
      </c>
    </row>
    <row r="62" spans="1:10" customFormat="1" ht="21" customHeight="1" x14ac:dyDescent="0.3">
      <c r="A62" s="1" t="s">
        <v>62</v>
      </c>
      <c r="B62" s="4" t="s">
        <v>63</v>
      </c>
      <c r="C62" s="4" t="s">
        <v>64</v>
      </c>
      <c r="D62" s="4" t="s">
        <v>65</v>
      </c>
    </row>
    <row r="63" spans="1:10" customFormat="1" ht="21" customHeight="1" x14ac:dyDescent="0.3">
      <c r="A63" s="9" t="s">
        <v>66</v>
      </c>
      <c r="B63" s="108"/>
      <c r="C63" s="108"/>
      <c r="D63" s="108"/>
      <c r="J63" s="82" t="s">
        <v>67</v>
      </c>
    </row>
    <row r="64" spans="1:10" customFormat="1" ht="21" customHeight="1" x14ac:dyDescent="0.3">
      <c r="A64" s="77" t="s">
        <v>68</v>
      </c>
      <c r="B64" s="323" t="s">
        <v>1236</v>
      </c>
      <c r="C64" s="323"/>
      <c r="D64" s="323"/>
      <c r="E64" s="323"/>
      <c r="F64" s="323"/>
      <c r="G64" s="323"/>
      <c r="H64" s="323"/>
      <c r="J64" s="82" t="s">
        <v>69</v>
      </c>
    </row>
    <row r="65" spans="1:13" customFormat="1" ht="21" customHeight="1" x14ac:dyDescent="0.3">
      <c r="A65" s="77"/>
      <c r="B65" s="77"/>
      <c r="C65" s="77"/>
      <c r="D65" s="77"/>
      <c r="E65" s="77"/>
      <c r="F65" s="77"/>
      <c r="G65" s="77"/>
      <c r="H65" s="77"/>
      <c r="I65" s="77"/>
      <c r="J65" s="82"/>
    </row>
    <row r="66" spans="1:13" customFormat="1" ht="21" customHeight="1" x14ac:dyDescent="0.3">
      <c r="A66" s="107" t="s">
        <v>70</v>
      </c>
      <c r="B66" s="109"/>
      <c r="C66" s="109"/>
      <c r="D66" s="109"/>
      <c r="E66" s="109"/>
      <c r="F66" s="109"/>
      <c r="G66" s="109"/>
      <c r="H66" s="109"/>
      <c r="I66" s="77"/>
      <c r="J66" s="82"/>
      <c r="K66" s="77"/>
      <c r="L66" s="82"/>
      <c r="M66" s="77"/>
    </row>
    <row r="67" spans="1:13" customFormat="1" ht="21" customHeight="1" x14ac:dyDescent="0.3">
      <c r="A67" s="107"/>
      <c r="B67" s="77" t="s">
        <v>71</v>
      </c>
      <c r="C67" s="77" t="s">
        <v>72</v>
      </c>
      <c r="D67" s="110" t="s">
        <v>73</v>
      </c>
      <c r="E67" s="77"/>
      <c r="F67" s="109"/>
      <c r="G67" s="109"/>
      <c r="H67" s="109"/>
      <c r="I67" s="77"/>
      <c r="J67" s="82" t="s">
        <v>74</v>
      </c>
      <c r="K67" s="77"/>
      <c r="L67" s="82"/>
      <c r="M67" s="77"/>
    </row>
    <row r="68" spans="1:13" customFormat="1" ht="21" customHeight="1" x14ac:dyDescent="0.3">
      <c r="A68" s="77" t="s">
        <v>75</v>
      </c>
      <c r="B68" s="111">
        <v>114</v>
      </c>
      <c r="C68" s="32">
        <f>IF(C$12&gt;0,B68/C$12*1000,"")</f>
        <v>2.5693035835023665</v>
      </c>
      <c r="D68" s="33">
        <f>IF(B68&gt;0,B68/B$71,"")</f>
        <v>0.32758620689655171</v>
      </c>
      <c r="E68" s="77"/>
      <c r="F68" s="109"/>
      <c r="G68" s="109"/>
      <c r="H68" s="109"/>
      <c r="I68" s="77"/>
      <c r="J68" s="82" t="s">
        <v>76</v>
      </c>
      <c r="K68" s="77"/>
      <c r="L68" s="77"/>
      <c r="M68" s="77"/>
    </row>
    <row r="69" spans="1:13" customFormat="1" ht="21" customHeight="1" x14ac:dyDescent="0.3">
      <c r="A69" s="77" t="s">
        <v>77</v>
      </c>
      <c r="B69" s="111">
        <v>165</v>
      </c>
      <c r="C69" s="32">
        <f>IF(C$12&gt;0,B69/C$12*1000,"")</f>
        <v>3.7187288708586883</v>
      </c>
      <c r="D69" s="33">
        <f>IF(B69&gt;0,B69/B$71,"")</f>
        <v>0.47413793103448276</v>
      </c>
      <c r="E69" s="77"/>
      <c r="F69" s="109"/>
      <c r="G69" s="109"/>
      <c r="H69" s="109"/>
      <c r="I69" s="77"/>
      <c r="J69" s="82" t="s">
        <v>78</v>
      </c>
      <c r="K69" s="77"/>
      <c r="L69" s="82"/>
      <c r="M69" s="77"/>
    </row>
    <row r="70" spans="1:13" customFormat="1" ht="21" customHeight="1" x14ac:dyDescent="0.3">
      <c r="A70" s="77" t="s">
        <v>79</v>
      </c>
      <c r="B70" s="111">
        <v>69</v>
      </c>
      <c r="C70" s="32">
        <f>IF(C$12&gt;0,B70/C$12*1000,"")</f>
        <v>1.5551048005409061</v>
      </c>
      <c r="D70" s="33">
        <f>IF(B70&gt;0,B70/B$71,"")</f>
        <v>0.19827586206896552</v>
      </c>
      <c r="E70" s="77"/>
      <c r="F70" s="109"/>
      <c r="G70" s="109"/>
      <c r="H70" s="109"/>
      <c r="I70" s="77"/>
      <c r="J70" s="82" t="s">
        <v>80</v>
      </c>
      <c r="K70" s="77"/>
      <c r="L70" s="82"/>
      <c r="M70" s="77"/>
    </row>
    <row r="71" spans="1:13" customFormat="1" ht="21" customHeight="1" x14ac:dyDescent="0.3">
      <c r="A71" s="77" t="s">
        <v>81</v>
      </c>
      <c r="B71" s="8">
        <f>IF(B68+B69+B70&gt;0,SUM(B68:B70),"")</f>
        <v>348</v>
      </c>
      <c r="C71" s="32">
        <f>IF(AND(C12&gt;0,B71&lt;&gt;""),B71/C12*1000,"")</f>
        <v>7.8431372549019605</v>
      </c>
      <c r="D71" s="33">
        <f>IF(B70+B69+B68&gt;0,D68+D69+D70,"")</f>
        <v>1</v>
      </c>
      <c r="E71" s="77"/>
      <c r="F71" s="109"/>
      <c r="G71" s="109"/>
      <c r="H71" s="109"/>
      <c r="I71" s="77"/>
      <c r="J71" s="82" t="s">
        <v>82</v>
      </c>
      <c r="K71" s="77"/>
      <c r="L71" s="77"/>
    </row>
    <row r="72" spans="1:13" customFormat="1" ht="21" customHeight="1" x14ac:dyDescent="0.3">
      <c r="A72" s="77"/>
      <c r="B72" s="107"/>
      <c r="C72" s="107"/>
      <c r="D72" s="107"/>
      <c r="E72" s="107"/>
      <c r="F72" s="107"/>
      <c r="G72" s="107"/>
      <c r="H72" s="107"/>
      <c r="I72" s="77"/>
      <c r="K72" s="77"/>
      <c r="L72" s="77"/>
      <c r="M72" s="77"/>
    </row>
    <row r="73" spans="1:13" customFormat="1" ht="21" customHeight="1" x14ac:dyDescent="0.3">
      <c r="A73" s="69" t="s">
        <v>83</v>
      </c>
      <c r="B73" s="4">
        <f>IF($C$9&gt;0,$C$9,"")</f>
        <v>2017</v>
      </c>
      <c r="C73" s="4">
        <f>IF($C$9&gt;0,$C$9+1,"")</f>
        <v>2018</v>
      </c>
      <c r="D73" s="4">
        <f>IF($C$9&gt;0,$C$9+2,"")</f>
        <v>2019</v>
      </c>
    </row>
    <row r="74" spans="1:13" customFormat="1" ht="21" customHeight="1" x14ac:dyDescent="0.3">
      <c r="A74" s="69" t="s">
        <v>84</v>
      </c>
      <c r="B74" s="112">
        <v>8.8000000000000007</v>
      </c>
      <c r="C74" s="112">
        <v>8.4</v>
      </c>
      <c r="D74" s="112">
        <v>8</v>
      </c>
      <c r="E74" s="77" t="s">
        <v>85</v>
      </c>
      <c r="J74" s="82" t="s">
        <v>86</v>
      </c>
    </row>
    <row r="75" spans="1:13" customFormat="1" ht="21" customHeight="1" x14ac:dyDescent="0.3">
      <c r="A75" s="107"/>
      <c r="E75" s="77"/>
    </row>
    <row r="76" spans="1:13" customFormat="1" ht="21" customHeight="1" x14ac:dyDescent="0.3">
      <c r="A76" s="107" t="s">
        <v>87</v>
      </c>
      <c r="E76" s="77"/>
      <c r="J76" s="82" t="s">
        <v>88</v>
      </c>
    </row>
    <row r="77" spans="1:13" customFormat="1" ht="21" customHeight="1" x14ac:dyDescent="0.3">
      <c r="A77" s="77" t="s">
        <v>89</v>
      </c>
      <c r="B77" s="113">
        <v>0.4</v>
      </c>
      <c r="C77" s="77" t="s">
        <v>90</v>
      </c>
      <c r="J77" s="82" t="s">
        <v>91</v>
      </c>
    </row>
    <row r="78" spans="1:13" customFormat="1" ht="21" customHeight="1" x14ac:dyDescent="0.3">
      <c r="A78" s="77" t="s">
        <v>92</v>
      </c>
      <c r="B78" s="114">
        <v>0.8</v>
      </c>
      <c r="C78" s="77" t="s">
        <v>93</v>
      </c>
      <c r="J78" s="82" t="s">
        <v>94</v>
      </c>
    </row>
    <row r="79" spans="1:13" customFormat="1" ht="21" customHeight="1" x14ac:dyDescent="0.3">
      <c r="A79" s="77" t="s">
        <v>95</v>
      </c>
      <c r="B79" s="113">
        <v>0.5</v>
      </c>
      <c r="C79" s="77" t="s">
        <v>96</v>
      </c>
      <c r="J79" s="82" t="s">
        <v>97</v>
      </c>
    </row>
    <row r="80" spans="1:13" customFormat="1" ht="21" customHeight="1" x14ac:dyDescent="0.3">
      <c r="A80" s="77" t="s">
        <v>98</v>
      </c>
      <c r="B80" s="111">
        <v>70</v>
      </c>
      <c r="C80" s="77" t="s">
        <v>99</v>
      </c>
      <c r="J80" s="82" t="s">
        <v>100</v>
      </c>
    </row>
    <row r="81" spans="1:10" customFormat="1" ht="21" customHeight="1" x14ac:dyDescent="0.3">
      <c r="A81" s="107"/>
      <c r="B81" s="115"/>
      <c r="C81" s="77"/>
    </row>
    <row r="82" spans="1:10" customFormat="1" ht="21" customHeight="1" x14ac:dyDescent="0.3">
      <c r="A82" s="107"/>
      <c r="B82" s="115"/>
      <c r="C82" s="77"/>
    </row>
    <row r="83" spans="1:10" customFormat="1" ht="21" customHeight="1" x14ac:dyDescent="0.3">
      <c r="A83" s="107"/>
      <c r="B83" s="115"/>
      <c r="C83" s="77"/>
    </row>
    <row r="84" spans="1:10" customFormat="1" ht="21" customHeight="1" x14ac:dyDescent="0.3">
      <c r="A84" s="107"/>
      <c r="B84" s="115"/>
      <c r="C84" s="77"/>
    </row>
    <row r="85" spans="1:10" customFormat="1" ht="21" customHeight="1" x14ac:dyDescent="0.4">
      <c r="A85" s="290" t="s">
        <v>101</v>
      </c>
      <c r="B85" s="290"/>
      <c r="C85" s="290"/>
      <c r="D85" s="290"/>
      <c r="E85" s="290"/>
      <c r="F85" s="290"/>
      <c r="G85" s="290"/>
      <c r="H85" s="290"/>
    </row>
    <row r="86" spans="1:10" customFormat="1" ht="21" customHeight="1" x14ac:dyDescent="0.3">
      <c r="A86" s="116" t="s">
        <v>102</v>
      </c>
      <c r="B86" s="77" t="s">
        <v>103</v>
      </c>
      <c r="E86" s="117" t="s">
        <v>1238</v>
      </c>
      <c r="F86" s="77" t="s">
        <v>104</v>
      </c>
      <c r="G86" s="77"/>
      <c r="J86" s="82" t="s">
        <v>105</v>
      </c>
    </row>
    <row r="87" spans="1:10" customFormat="1" ht="21" customHeight="1" x14ac:dyDescent="0.3">
      <c r="A87" s="116" t="s">
        <v>102</v>
      </c>
      <c r="B87" s="77" t="s">
        <v>106</v>
      </c>
      <c r="E87" s="111"/>
      <c r="F87" s="77" t="s">
        <v>107</v>
      </c>
      <c r="J87" s="82" t="s">
        <v>108</v>
      </c>
    </row>
    <row r="88" spans="1:10" customFormat="1" ht="21" customHeight="1" x14ac:dyDescent="0.3">
      <c r="A88" s="118" t="s">
        <v>102</v>
      </c>
      <c r="B88" s="77" t="s">
        <v>109</v>
      </c>
      <c r="E88" s="113">
        <v>0.04</v>
      </c>
      <c r="F88" s="77" t="s">
        <v>104</v>
      </c>
      <c r="J88" s="82" t="s">
        <v>110</v>
      </c>
    </row>
    <row r="89" spans="1:10" customFormat="1" ht="21" customHeight="1" x14ac:dyDescent="0.3">
      <c r="A89" s="119"/>
      <c r="C89" s="120"/>
    </row>
    <row r="90" spans="1:10" customFormat="1" ht="21" customHeight="1" x14ac:dyDescent="0.3">
      <c r="A90" s="107"/>
      <c r="B90" s="121"/>
      <c r="C90" s="77"/>
      <c r="E90" s="77"/>
    </row>
    <row r="91" spans="1:10" customFormat="1" ht="21" customHeight="1" x14ac:dyDescent="0.45">
      <c r="A91" s="285" t="s">
        <v>111</v>
      </c>
      <c r="B91" s="285"/>
      <c r="C91" s="285"/>
      <c r="D91" s="285"/>
      <c r="E91" s="285"/>
      <c r="F91" s="285"/>
      <c r="G91" s="285"/>
      <c r="H91" s="285"/>
    </row>
    <row r="92" spans="1:10" customFormat="1" ht="12" customHeight="1" x14ac:dyDescent="0.35">
      <c r="A92" s="99"/>
      <c r="B92" s="99"/>
      <c r="C92" s="99"/>
      <c r="D92" s="99"/>
      <c r="E92" s="99"/>
      <c r="F92" s="99"/>
      <c r="G92" s="99"/>
      <c r="H92" s="99"/>
      <c r="J92" s="82"/>
    </row>
    <row r="93" spans="1:10" customFormat="1" ht="21" customHeight="1" x14ac:dyDescent="0.4">
      <c r="A93" s="97" t="s">
        <v>112</v>
      </c>
      <c r="J93" s="82"/>
    </row>
    <row r="94" spans="1:10" customFormat="1" ht="21" customHeight="1" x14ac:dyDescent="0.3">
      <c r="A94" s="82" t="s">
        <v>113</v>
      </c>
    </row>
    <row r="95" spans="1:10" customFormat="1" ht="21" customHeight="1" x14ac:dyDescent="0.35">
      <c r="A95" s="122" t="s">
        <v>114</v>
      </c>
      <c r="J95" s="123" t="s">
        <v>115</v>
      </c>
    </row>
    <row r="96" spans="1:10" customFormat="1" ht="21" customHeight="1" x14ac:dyDescent="0.3">
      <c r="A96" s="82" t="s">
        <v>116</v>
      </c>
      <c r="J96" s="124" t="s">
        <v>117</v>
      </c>
    </row>
    <row r="97" spans="1:10" customFormat="1" ht="21" customHeight="1" x14ac:dyDescent="0.3">
      <c r="A97" s="1" t="s">
        <v>118</v>
      </c>
      <c r="B97" s="4">
        <f>IF($C$9&gt;0,$C$9-3,"")</f>
        <v>2014</v>
      </c>
      <c r="C97" s="4">
        <f>IF($C$9&gt;0,$C$9-2,"")</f>
        <v>2015</v>
      </c>
      <c r="D97" s="4">
        <f>IF($C$9&gt;0,$C$9-1,"")</f>
        <v>2016</v>
      </c>
    </row>
    <row r="98" spans="1:10" customFormat="1" ht="21" customHeight="1" x14ac:dyDescent="0.3">
      <c r="A98" s="9" t="s">
        <v>75</v>
      </c>
      <c r="B98" s="125">
        <f>SourceData!B18</f>
        <v>32</v>
      </c>
      <c r="C98" s="125">
        <f>SourceData!C18</f>
        <v>31</v>
      </c>
      <c r="D98" s="125">
        <f>SourceData!D18</f>
        <v>31</v>
      </c>
      <c r="J98" s="82" t="s">
        <v>119</v>
      </c>
    </row>
    <row r="99" spans="1:10" customFormat="1" ht="21" customHeight="1" x14ac:dyDescent="0.3">
      <c r="A99" s="9" t="s">
        <v>120</v>
      </c>
      <c r="B99" s="125">
        <f>SourceData!B19</f>
        <v>19</v>
      </c>
      <c r="C99" s="125">
        <f>SourceData!C19</f>
        <v>30</v>
      </c>
      <c r="D99" s="125">
        <f>SourceData!D19</f>
        <v>25</v>
      </c>
      <c r="J99" s="82" t="s">
        <v>119</v>
      </c>
    </row>
    <row r="100" spans="1:10" customFormat="1" ht="21" customHeight="1" x14ac:dyDescent="0.3">
      <c r="A100" s="9" t="s">
        <v>79</v>
      </c>
      <c r="B100" s="125">
        <f>SourceData!B20</f>
        <v>59</v>
      </c>
      <c r="C100" s="125">
        <f>SourceData!C20</f>
        <v>68</v>
      </c>
      <c r="D100" s="125">
        <f>SourceData!D20</f>
        <v>57</v>
      </c>
      <c r="J100" s="82" t="s">
        <v>119</v>
      </c>
    </row>
    <row r="101" spans="1:10" customFormat="1" ht="21" customHeight="1" x14ac:dyDescent="0.3">
      <c r="A101" s="9" t="s">
        <v>81</v>
      </c>
      <c r="B101" s="8">
        <f>IF(B98+B99+B100&gt;0,SUM(B98:B100),"")</f>
        <v>110</v>
      </c>
      <c r="C101" s="8">
        <f>IF(C98+C99+C100&gt;0,SUM(C98:C100),"")</f>
        <v>129</v>
      </c>
      <c r="D101" s="8">
        <f>IF(D98+D99+D100&gt;0,SUM(D98:D100),"")</f>
        <v>113</v>
      </c>
      <c r="J101" s="82" t="s">
        <v>121</v>
      </c>
    </row>
    <row r="102" spans="1:10" customFormat="1" ht="21" customHeight="1" x14ac:dyDescent="0.3">
      <c r="A102" s="9" t="s">
        <v>122</v>
      </c>
      <c r="B102" s="13">
        <f>IF(B103&gt;0,(B101/B103)*1000,"")</f>
        <v>2.4785381131565307</v>
      </c>
      <c r="C102" s="13">
        <f>IF(C103&gt;0,(C101/C103)*1000,"")</f>
        <v>2.906649241792659</v>
      </c>
      <c r="D102" s="13">
        <f>IF(D103&gt;0,(D101/D103)*1000,"")</f>
        <v>2.5467658327698892</v>
      </c>
      <c r="J102" s="82" t="s">
        <v>123</v>
      </c>
    </row>
    <row r="103" spans="1:10" customFormat="1" ht="21" customHeight="1" x14ac:dyDescent="0.3">
      <c r="A103" s="77" t="s">
        <v>124</v>
      </c>
      <c r="B103" s="78">
        <f>SourceData!B21</f>
        <v>44381</v>
      </c>
      <c r="C103" s="78">
        <f>SourceData!C21</f>
        <v>44381</v>
      </c>
      <c r="D103" s="78">
        <f>SourceData!D21</f>
        <v>44370</v>
      </c>
      <c r="J103" s="82" t="s">
        <v>125</v>
      </c>
    </row>
    <row r="104" spans="1:10" customFormat="1" ht="21" customHeight="1" x14ac:dyDescent="0.3">
      <c r="A104" s="126" t="s">
        <v>126</v>
      </c>
    </row>
    <row r="105" spans="1:10" customFormat="1" ht="21" customHeight="1" x14ac:dyDescent="0.3">
      <c r="A105" s="1" t="s">
        <v>118</v>
      </c>
      <c r="B105" s="4">
        <f>IF($C$9&gt;0,$C$9-3,"")</f>
        <v>2014</v>
      </c>
      <c r="C105" s="4">
        <f>IF($C$9&gt;0,$C$9-2,"")</f>
        <v>2015</v>
      </c>
      <c r="D105" s="4">
        <f>IF($C$9&gt;0,$C$9-1,"")</f>
        <v>2016</v>
      </c>
    </row>
    <row r="106" spans="1:10" customFormat="1" ht="21" customHeight="1" x14ac:dyDescent="0.3">
      <c r="A106" s="9" t="s">
        <v>127</v>
      </c>
      <c r="B106" s="22">
        <f>IF(B98+B99&gt;0,B98/(B98+B99),"")</f>
        <v>0.62745098039215685</v>
      </c>
      <c r="C106" s="22">
        <f>IF(C98+C99&gt;0,C98/(C98+C99),"")</f>
        <v>0.50819672131147542</v>
      </c>
      <c r="D106" s="22">
        <f>IF(D98+D99&gt;0,D98/(D98+D99),"")</f>
        <v>0.5535714285714286</v>
      </c>
      <c r="J106" s="82" t="s">
        <v>128</v>
      </c>
    </row>
    <row r="107" spans="1:10" customFormat="1" ht="21" customHeight="1" x14ac:dyDescent="0.3">
      <c r="A107" s="9" t="s">
        <v>129</v>
      </c>
      <c r="B107" s="22">
        <f>IF(B100&gt;0,B100/B101,"")</f>
        <v>0.53636363636363638</v>
      </c>
      <c r="C107" s="22">
        <f>IF(C100&gt;0,C100/C101,"")</f>
        <v>0.52713178294573648</v>
      </c>
      <c r="D107" s="22">
        <f>IF(D100&gt;0,D100/D101,"")</f>
        <v>0.50442477876106195</v>
      </c>
      <c r="J107" s="82" t="s">
        <v>128</v>
      </c>
    </row>
    <row r="108" spans="1:10" customFormat="1" ht="21" customHeight="1" x14ac:dyDescent="0.3">
      <c r="A108" s="127" t="s">
        <v>130</v>
      </c>
      <c r="B108" s="128"/>
      <c r="C108" s="128"/>
      <c r="D108" s="128"/>
    </row>
    <row r="109" spans="1:10" customFormat="1" ht="21" customHeight="1" x14ac:dyDescent="0.3">
      <c r="A109" s="291"/>
      <c r="B109" s="315"/>
      <c r="C109" s="315"/>
      <c r="D109" s="315"/>
      <c r="E109" s="315"/>
      <c r="F109" s="315"/>
      <c r="G109" s="315"/>
      <c r="H109" s="315"/>
    </row>
    <row r="110" spans="1:10" customFormat="1" ht="21" customHeight="1" x14ac:dyDescent="0.3">
      <c r="A110" s="312"/>
      <c r="B110" s="313"/>
      <c r="C110" s="313"/>
      <c r="D110" s="313"/>
      <c r="E110" s="313"/>
      <c r="F110" s="313"/>
      <c r="G110" s="313"/>
      <c r="H110" s="313"/>
    </row>
    <row r="111" spans="1:10" customFormat="1" ht="12" customHeight="1" x14ac:dyDescent="0.3"/>
    <row r="112" spans="1:10" customFormat="1" ht="21" customHeight="1" x14ac:dyDescent="0.35">
      <c r="A112" s="122" t="s">
        <v>131</v>
      </c>
      <c r="F112" s="120"/>
      <c r="J112" s="123" t="s">
        <v>115</v>
      </c>
    </row>
    <row r="113" spans="1:10" customFormat="1" ht="21" customHeight="1" x14ac:dyDescent="0.3">
      <c r="A113" s="82" t="s">
        <v>132</v>
      </c>
      <c r="F113" s="110"/>
      <c r="J113" s="124" t="s">
        <v>133</v>
      </c>
    </row>
    <row r="114" spans="1:10" customFormat="1" ht="21" customHeight="1" x14ac:dyDescent="0.3">
      <c r="A114" s="1" t="s">
        <v>118</v>
      </c>
      <c r="B114" s="4">
        <f>IF($C$9&gt;0,$C$9-4,"")</f>
        <v>2013</v>
      </c>
      <c r="C114" s="4">
        <f>IF($C$9&gt;0,$C$9-3,"")</f>
        <v>2014</v>
      </c>
      <c r="D114" s="4">
        <f>IF($C$9&gt;0,$C$9-2,"")</f>
        <v>2015</v>
      </c>
      <c r="E114" s="4">
        <f>IF($C$9&gt;0,$C$9-1,"")</f>
        <v>2016</v>
      </c>
      <c r="F114" s="120"/>
    </row>
    <row r="115" spans="1:10" customFormat="1" ht="21" customHeight="1" x14ac:dyDescent="0.3">
      <c r="A115" s="9" t="s">
        <v>134</v>
      </c>
      <c r="B115" s="78">
        <f>SourceData!C28</f>
        <v>10403</v>
      </c>
      <c r="C115" s="78">
        <f>SourceData!D28</f>
        <v>9600</v>
      </c>
      <c r="D115" s="78">
        <f>SourceData!E28</f>
        <v>9933</v>
      </c>
      <c r="E115" s="78">
        <f>SourceData!F28</f>
        <v>9974</v>
      </c>
      <c r="J115" s="79" t="s">
        <v>135</v>
      </c>
    </row>
    <row r="116" spans="1:10" customFormat="1" ht="21" customHeight="1" x14ac:dyDescent="0.3">
      <c r="A116" s="9" t="s">
        <v>136</v>
      </c>
      <c r="B116" s="129">
        <f>SourceData!C29</f>
        <v>7.3999999999999996E-2</v>
      </c>
      <c r="C116" s="129">
        <f>SourceData!D29</f>
        <v>8.6999999999999994E-2</v>
      </c>
      <c r="D116" s="129">
        <f>SourceData!E29</f>
        <v>9.0999999999999998E-2</v>
      </c>
      <c r="E116" s="129">
        <f>SourceData!F29</f>
        <v>9.5000000000000001E-2</v>
      </c>
      <c r="J116" s="82" t="s">
        <v>137</v>
      </c>
    </row>
    <row r="117" spans="1:10" customFormat="1" ht="21" customHeight="1" x14ac:dyDescent="0.3">
      <c r="A117" s="9" t="s">
        <v>138</v>
      </c>
      <c r="B117" s="129">
        <f>SourceData!C30</f>
        <v>0.77</v>
      </c>
      <c r="C117" s="129">
        <f>SourceData!D30</f>
        <v>0.57499999999999996</v>
      </c>
      <c r="D117" s="129">
        <f>SourceData!E30</f>
        <v>0.63300000000000001</v>
      </c>
      <c r="E117" s="129">
        <f>SourceData!F30</f>
        <v>0.68100000000000005</v>
      </c>
      <c r="J117" s="82" t="s">
        <v>139</v>
      </c>
    </row>
    <row r="118" spans="1:10" customFormat="1" ht="21" customHeight="1" x14ac:dyDescent="0.3">
      <c r="A118" s="9" t="s">
        <v>140</v>
      </c>
      <c r="B118" s="130">
        <f>SourceData!C31</f>
        <v>0.33100000000000002</v>
      </c>
      <c r="C118" s="130">
        <f>SourceData!D31</f>
        <v>0.30299999999999999</v>
      </c>
      <c r="D118" s="130">
        <f>SourceData!E31</f>
        <v>0.36399999999999999</v>
      </c>
      <c r="E118" s="130">
        <f>SourceData!F31</f>
        <v>0.374</v>
      </c>
      <c r="J118" s="82" t="s">
        <v>141</v>
      </c>
    </row>
    <row r="119" spans="1:10" customFormat="1" ht="21" customHeight="1" x14ac:dyDescent="0.3">
      <c r="A119" s="127" t="s">
        <v>130</v>
      </c>
      <c r="B119" s="128"/>
      <c r="C119" s="128"/>
      <c r="D119" s="128"/>
      <c r="G119" s="107"/>
    </row>
    <row r="120" spans="1:10" customFormat="1" ht="21" customHeight="1" x14ac:dyDescent="0.3">
      <c r="A120" s="291"/>
      <c r="B120" s="315"/>
      <c r="C120" s="315"/>
      <c r="D120" s="315"/>
      <c r="E120" s="315"/>
      <c r="F120" s="315"/>
      <c r="G120" s="315"/>
      <c r="H120" s="315"/>
    </row>
    <row r="121" spans="1:10" customFormat="1" ht="21" customHeight="1" x14ac:dyDescent="0.3">
      <c r="A121" s="312"/>
      <c r="B121" s="313"/>
      <c r="C121" s="313"/>
      <c r="D121" s="313"/>
      <c r="E121" s="313"/>
      <c r="F121" s="313"/>
      <c r="G121" s="313"/>
      <c r="H121" s="313"/>
    </row>
    <row r="122" spans="1:10" customFormat="1" ht="12" customHeight="1" x14ac:dyDescent="0.3"/>
    <row r="123" spans="1:10" customFormat="1" ht="21" customHeight="1" x14ac:dyDescent="0.35">
      <c r="A123" s="122" t="s">
        <v>142</v>
      </c>
      <c r="J123" s="123" t="s">
        <v>115</v>
      </c>
    </row>
    <row r="124" spans="1:10" customFormat="1" ht="21" customHeight="1" x14ac:dyDescent="0.3">
      <c r="A124" s="1" t="s">
        <v>118</v>
      </c>
      <c r="B124" s="3">
        <f>IF($C$9&gt;0,$C$9-5,"")</f>
        <v>2012</v>
      </c>
      <c r="C124" s="4">
        <f>IF($C$9&gt;0,$C$9-4,"")</f>
        <v>2013</v>
      </c>
      <c r="D124" s="4">
        <f>IF($C$9&gt;0,$C$9-3,"")</f>
        <v>2014</v>
      </c>
      <c r="E124" s="4">
        <f>IF($C$9&gt;0,$C$9-2,"")</f>
        <v>2015</v>
      </c>
      <c r="F124" s="4">
        <f>IF($C$9&gt;0,$C$9-1,"")</f>
        <v>2016</v>
      </c>
      <c r="G124" s="4">
        <f>IF($C$9&gt;0,$C$9,"")</f>
        <v>2017</v>
      </c>
      <c r="J124" s="124" t="s">
        <v>143</v>
      </c>
    </row>
    <row r="125" spans="1:10" customFormat="1" ht="21" customHeight="1" x14ac:dyDescent="0.3">
      <c r="A125" s="9" t="s">
        <v>144</v>
      </c>
      <c r="B125" s="131"/>
      <c r="C125" s="131"/>
      <c r="D125" s="131"/>
      <c r="E125" s="131"/>
      <c r="F125" s="131"/>
      <c r="G125" s="131">
        <v>2892</v>
      </c>
      <c r="J125" s="82" t="s">
        <v>145</v>
      </c>
    </row>
    <row r="126" spans="1:10" customFormat="1" ht="21" customHeight="1" x14ac:dyDescent="0.3">
      <c r="A126" s="9" t="s">
        <v>146</v>
      </c>
      <c r="B126" s="131"/>
      <c r="C126" s="131"/>
      <c r="D126" s="131"/>
      <c r="E126" s="131"/>
      <c r="F126" s="131"/>
      <c r="G126" s="131"/>
      <c r="J126" s="82" t="s">
        <v>147</v>
      </c>
    </row>
    <row r="127" spans="1:10" customFormat="1" ht="21" customHeight="1" x14ac:dyDescent="0.3">
      <c r="A127" s="9" t="s">
        <v>148</v>
      </c>
      <c r="B127" s="131"/>
      <c r="C127" s="131"/>
      <c r="D127" s="131"/>
      <c r="E127" s="131"/>
      <c r="F127" s="131"/>
      <c r="G127" s="131">
        <v>1009</v>
      </c>
      <c r="J127" s="82" t="s">
        <v>149</v>
      </c>
    </row>
    <row r="128" spans="1:10" customFormat="1" ht="21" customHeight="1" x14ac:dyDescent="0.3">
      <c r="A128" s="9" t="s">
        <v>150</v>
      </c>
      <c r="B128" s="131">
        <v>19</v>
      </c>
      <c r="C128" s="111">
        <v>19</v>
      </c>
      <c r="D128" s="111">
        <v>19</v>
      </c>
      <c r="E128" s="111">
        <v>19</v>
      </c>
      <c r="F128" s="111">
        <v>19</v>
      </c>
      <c r="G128" s="111">
        <v>19</v>
      </c>
      <c r="J128" s="82" t="s">
        <v>151</v>
      </c>
    </row>
    <row r="129" spans="1:10" customFormat="1" ht="21" customHeight="1" x14ac:dyDescent="0.3">
      <c r="A129" s="9" t="s">
        <v>152</v>
      </c>
      <c r="B129" s="40" t="e">
        <f t="shared" ref="B129:G129" si="0">B127/B125</f>
        <v>#DIV/0!</v>
      </c>
      <c r="C129" s="40" t="e">
        <f t="shared" si="0"/>
        <v>#DIV/0!</v>
      </c>
      <c r="D129" s="40" t="e">
        <f t="shared" si="0"/>
        <v>#DIV/0!</v>
      </c>
      <c r="E129" s="40" t="e">
        <f t="shared" si="0"/>
        <v>#DIV/0!</v>
      </c>
      <c r="F129" s="40" t="e">
        <f t="shared" si="0"/>
        <v>#DIV/0!</v>
      </c>
      <c r="G129" s="40">
        <f t="shared" si="0"/>
        <v>0.34889349930843705</v>
      </c>
      <c r="J129" s="82" t="s">
        <v>153</v>
      </c>
    </row>
    <row r="130" spans="1:10" customFormat="1" ht="21" customHeight="1" x14ac:dyDescent="0.3">
      <c r="A130" s="9" t="s">
        <v>154</v>
      </c>
      <c r="B130" s="132">
        <v>8.6</v>
      </c>
      <c r="C130" s="132">
        <v>10.7</v>
      </c>
      <c r="D130" s="132">
        <v>8</v>
      </c>
      <c r="E130" s="132">
        <v>9.9</v>
      </c>
      <c r="F130" s="132">
        <v>8.4</v>
      </c>
      <c r="G130" s="132">
        <v>10.6</v>
      </c>
      <c r="J130" s="82" t="s">
        <v>155</v>
      </c>
    </row>
    <row r="131" spans="1:10" customFormat="1" ht="21" customHeight="1" x14ac:dyDescent="0.3">
      <c r="A131" s="9" t="s">
        <v>156</v>
      </c>
      <c r="B131" s="132">
        <v>5.3</v>
      </c>
      <c r="C131" s="132">
        <v>6.7</v>
      </c>
      <c r="D131" s="132">
        <v>5.6</v>
      </c>
      <c r="E131" s="132">
        <v>6.3</v>
      </c>
      <c r="F131" s="132">
        <v>6</v>
      </c>
      <c r="G131" s="132">
        <v>6.9</v>
      </c>
      <c r="J131" s="82" t="s">
        <v>157</v>
      </c>
    </row>
    <row r="132" spans="1:10" customFormat="1" ht="21" customHeight="1" x14ac:dyDescent="0.3">
      <c r="A132" s="9" t="s">
        <v>158</v>
      </c>
      <c r="B132" s="41" t="e">
        <f t="shared" ref="B132:G132" si="1">(B127*100000)/(B125*B126*B128)</f>
        <v>#DIV/0!</v>
      </c>
      <c r="C132" s="41" t="e">
        <f t="shared" si="1"/>
        <v>#DIV/0!</v>
      </c>
      <c r="D132" s="41" t="e">
        <f t="shared" si="1"/>
        <v>#DIV/0!</v>
      </c>
      <c r="E132" s="41" t="e">
        <f t="shared" si="1"/>
        <v>#DIV/0!</v>
      </c>
      <c r="F132" s="41" t="e">
        <f t="shared" si="1"/>
        <v>#DIV/0!</v>
      </c>
      <c r="G132" s="41" t="e">
        <f t="shared" si="1"/>
        <v>#DIV/0!</v>
      </c>
      <c r="J132" s="82" t="s">
        <v>159</v>
      </c>
    </row>
    <row r="133" spans="1:10" customFormat="1" ht="21" customHeight="1" x14ac:dyDescent="0.3">
      <c r="A133" s="9" t="s">
        <v>158</v>
      </c>
      <c r="B133" s="132">
        <v>7</v>
      </c>
      <c r="C133" s="132">
        <v>8.6999999999999993</v>
      </c>
      <c r="D133" s="132">
        <v>6.8</v>
      </c>
      <c r="E133" s="132">
        <v>8.1</v>
      </c>
      <c r="F133" s="132">
        <v>7.2</v>
      </c>
      <c r="G133" s="132">
        <v>8.6999999999999993</v>
      </c>
      <c r="J133" s="82" t="s">
        <v>160</v>
      </c>
    </row>
    <row r="134" spans="1:10" customFormat="1" ht="21" customHeight="1" x14ac:dyDescent="0.3">
      <c r="A134" s="127" t="s">
        <v>130</v>
      </c>
      <c r="B134" s="128"/>
      <c r="C134" s="128"/>
      <c r="D134" s="128"/>
    </row>
    <row r="135" spans="1:10" customFormat="1" ht="21" customHeight="1" x14ac:dyDescent="0.3">
      <c r="A135" s="291"/>
      <c r="B135" s="315"/>
      <c r="C135" s="315"/>
      <c r="D135" s="315"/>
      <c r="E135" s="315"/>
      <c r="F135" s="315"/>
      <c r="G135" s="315"/>
      <c r="H135" s="315"/>
    </row>
    <row r="136" spans="1:10" customFormat="1" ht="21" customHeight="1" x14ac:dyDescent="0.3">
      <c r="A136" s="312"/>
      <c r="B136" s="313"/>
      <c r="C136" s="313"/>
      <c r="D136" s="313"/>
      <c r="E136" s="313"/>
      <c r="F136" s="313"/>
      <c r="G136" s="313"/>
      <c r="H136" s="313"/>
    </row>
    <row r="137" spans="1:10" customFormat="1" ht="21" customHeight="1" x14ac:dyDescent="0.45">
      <c r="A137" s="285" t="s">
        <v>161</v>
      </c>
      <c r="B137" s="285"/>
      <c r="C137" s="285"/>
      <c r="D137" s="285"/>
      <c r="E137" s="285"/>
      <c r="F137" s="285"/>
      <c r="G137" s="285"/>
      <c r="H137" s="285"/>
    </row>
    <row r="138" spans="1:10" customFormat="1" ht="12" customHeight="1" x14ac:dyDescent="0.3"/>
    <row r="139" spans="1:10" customFormat="1" ht="21" customHeight="1" x14ac:dyDescent="0.35">
      <c r="A139" s="122" t="s">
        <v>162</v>
      </c>
      <c r="J139" s="123" t="s">
        <v>115</v>
      </c>
    </row>
    <row r="140" spans="1:10" customFormat="1" ht="21" customHeight="1" x14ac:dyDescent="0.3">
      <c r="A140" s="82" t="s">
        <v>163</v>
      </c>
      <c r="J140" s="124" t="s">
        <v>164</v>
      </c>
    </row>
    <row r="141" spans="1:10" customFormat="1" ht="21" customHeight="1" x14ac:dyDescent="0.3">
      <c r="A141" s="1" t="s">
        <v>118</v>
      </c>
      <c r="B141" s="3">
        <f>IF($C$9&gt;0,$C$9-5,"")</f>
        <v>2012</v>
      </c>
      <c r="C141" s="4">
        <f>IF($C$9&gt;0,$C$9-4,"")</f>
        <v>2013</v>
      </c>
      <c r="D141" s="4">
        <f>IF($C$9&gt;0,$C$9-3,"")</f>
        <v>2014</v>
      </c>
      <c r="E141" s="4">
        <f>IF($C$9&gt;0,$C$9-2,"")</f>
        <v>2015</v>
      </c>
      <c r="F141" s="4">
        <f>IF($C$9&gt;0,$C$9-1,"")</f>
        <v>2016</v>
      </c>
    </row>
    <row r="142" spans="1:10" customFormat="1" ht="21" customHeight="1" x14ac:dyDescent="0.3">
      <c r="A142" s="9" t="s">
        <v>165</v>
      </c>
      <c r="B142" s="133"/>
      <c r="C142" s="134"/>
      <c r="D142" s="134"/>
      <c r="E142" s="134"/>
      <c r="F142" s="134"/>
    </row>
    <row r="143" spans="1:10" customFormat="1" ht="21" customHeight="1" x14ac:dyDescent="0.3">
      <c r="A143" s="9" t="s">
        <v>166</v>
      </c>
      <c r="B143" s="133">
        <f>SourceData!C38</f>
        <v>0</v>
      </c>
      <c r="C143" s="133">
        <f>SourceData!D38</f>
        <v>0</v>
      </c>
      <c r="D143" s="133">
        <f>SourceData!E38</f>
        <v>0</v>
      </c>
      <c r="E143" s="133">
        <f>SourceData!F38</f>
        <v>0</v>
      </c>
      <c r="F143" s="133">
        <f>SourceData!G38</f>
        <v>0</v>
      </c>
      <c r="J143" s="82" t="s">
        <v>167</v>
      </c>
    </row>
    <row r="144" spans="1:10" customFormat="1" ht="21" customHeight="1" x14ac:dyDescent="0.3">
      <c r="A144" s="9" t="s">
        <v>168</v>
      </c>
      <c r="B144" s="133">
        <f>SourceData!B39</f>
        <v>69</v>
      </c>
      <c r="C144" s="133">
        <f>SourceData!C39</f>
        <v>67</v>
      </c>
      <c r="D144" s="133">
        <f>SourceData!D39</f>
        <v>66</v>
      </c>
      <c r="E144" s="133">
        <f>SourceData!E39</f>
        <v>71</v>
      </c>
      <c r="F144" s="133">
        <f>SourceData!F39</f>
        <v>66</v>
      </c>
      <c r="J144" s="82" t="s">
        <v>169</v>
      </c>
    </row>
    <row r="145" spans="1:13" customFormat="1" ht="21" customHeight="1" x14ac:dyDescent="0.3">
      <c r="A145" s="9" t="s">
        <v>170</v>
      </c>
      <c r="B145" s="135">
        <f>SourceData!B40</f>
        <v>68.7</v>
      </c>
      <c r="C145" s="135">
        <f>SourceData!C40</f>
        <v>66.8</v>
      </c>
      <c r="D145" s="135">
        <f>SourceData!D40</f>
        <v>66.400000000000006</v>
      </c>
      <c r="E145" s="135">
        <f>SourceData!E40</f>
        <v>70.7</v>
      </c>
      <c r="F145" s="135">
        <f>SourceData!F40</f>
        <v>66.3</v>
      </c>
      <c r="J145" s="82" t="s">
        <v>171</v>
      </c>
    </row>
    <row r="146" spans="1:13" customFormat="1" ht="21" customHeight="1" x14ac:dyDescent="0.3">
      <c r="A146" s="127" t="s">
        <v>130</v>
      </c>
      <c r="B146" s="128"/>
      <c r="C146" s="128"/>
      <c r="D146" s="128"/>
    </row>
    <row r="147" spans="1:13" customFormat="1" ht="21" customHeight="1" x14ac:dyDescent="0.3">
      <c r="A147" s="291"/>
      <c r="B147" s="315"/>
      <c r="C147" s="315"/>
      <c r="D147" s="315"/>
      <c r="E147" s="315"/>
      <c r="F147" s="315"/>
      <c r="G147" s="315"/>
      <c r="H147" s="315"/>
    </row>
    <row r="148" spans="1:13" customFormat="1" ht="21" customHeight="1" x14ac:dyDescent="0.3">
      <c r="A148" s="312"/>
      <c r="B148" s="313"/>
      <c r="C148" s="313"/>
      <c r="D148" s="313"/>
      <c r="E148" s="313"/>
      <c r="F148" s="313"/>
      <c r="G148" s="313"/>
      <c r="H148" s="313"/>
    </row>
    <row r="149" spans="1:13" customFormat="1" ht="12" customHeight="1" x14ac:dyDescent="0.45">
      <c r="A149" s="136"/>
      <c r="B149" s="136"/>
      <c r="C149" s="136"/>
      <c r="D149" s="136"/>
      <c r="E149" s="136"/>
      <c r="F149" s="136"/>
      <c r="G149" s="136"/>
      <c r="H149" s="136"/>
      <c r="J149" s="82"/>
    </row>
    <row r="150" spans="1:13" customFormat="1" ht="21" customHeight="1" x14ac:dyDescent="0.35">
      <c r="A150" s="122" t="s">
        <v>172</v>
      </c>
      <c r="B150" s="77"/>
      <c r="C150" s="77"/>
      <c r="D150" s="77"/>
      <c r="E150" s="77"/>
      <c r="F150" s="77"/>
      <c r="G150" s="77"/>
      <c r="H150" s="77"/>
      <c r="I150" s="77"/>
      <c r="J150" s="123" t="s">
        <v>173</v>
      </c>
      <c r="K150" s="77"/>
      <c r="L150" s="77"/>
      <c r="M150" s="77"/>
    </row>
    <row r="151" spans="1:13" customFormat="1" ht="21" customHeight="1" x14ac:dyDescent="0.3">
      <c r="A151" s="126" t="s">
        <v>174</v>
      </c>
      <c r="B151" s="77"/>
      <c r="C151" s="77"/>
      <c r="D151" s="77"/>
      <c r="E151" s="77"/>
      <c r="F151" s="77"/>
      <c r="G151" s="77"/>
      <c r="H151" s="77"/>
      <c r="I151" s="77"/>
      <c r="J151" s="82"/>
      <c r="K151" s="77"/>
      <c r="L151" s="77"/>
      <c r="M151" s="77"/>
    </row>
    <row r="152" spans="1:13" customFormat="1" ht="21" customHeight="1" x14ac:dyDescent="0.3">
      <c r="A152" s="1" t="s">
        <v>118</v>
      </c>
      <c r="B152" s="3">
        <f>IF($C$9&gt;0,$C$9-5,"")</f>
        <v>2012</v>
      </c>
      <c r="C152" s="4">
        <f>IF($C$9&gt;0,$C$9-4,"")</f>
        <v>2013</v>
      </c>
      <c r="D152" s="4">
        <f>IF($C$9&gt;0,$C$9-3,"")</f>
        <v>2014</v>
      </c>
      <c r="E152" s="4">
        <f>IF($C$9&gt;0,$C$9-2,"")</f>
        <v>2015</v>
      </c>
      <c r="F152" s="4">
        <f>IF($C$9&gt;0,$C$9-1,"")</f>
        <v>2016</v>
      </c>
      <c r="G152" s="77"/>
      <c r="H152" s="77"/>
      <c r="I152" s="77"/>
      <c r="J152" s="82"/>
      <c r="K152" s="77"/>
      <c r="L152" s="77"/>
      <c r="M152" s="77"/>
    </row>
    <row r="153" spans="1:13" customFormat="1" ht="21" customHeight="1" x14ac:dyDescent="0.3">
      <c r="A153" s="9" t="s">
        <v>175</v>
      </c>
      <c r="B153" s="137">
        <f>SourceData!B48</f>
        <v>171</v>
      </c>
      <c r="C153" s="137">
        <f>SourceData!C48</f>
        <v>152</v>
      </c>
      <c r="D153" s="137">
        <f>SourceData!D48</f>
        <v>153</v>
      </c>
      <c r="E153" s="137">
        <f>SourceData!E48</f>
        <v>155</v>
      </c>
      <c r="F153" s="137">
        <f>SourceData!F48</f>
        <v>172</v>
      </c>
      <c r="G153" s="77"/>
      <c r="H153" s="77"/>
      <c r="I153" s="77"/>
      <c r="J153" s="82" t="s">
        <v>176</v>
      </c>
      <c r="K153" s="77"/>
      <c r="L153" s="138"/>
      <c r="M153" s="77"/>
    </row>
    <row r="154" spans="1:13" customFormat="1" ht="21" customHeight="1" x14ac:dyDescent="0.3">
      <c r="A154" s="9" t="s">
        <v>177</v>
      </c>
      <c r="B154" s="137">
        <f>SourceData!B58</f>
        <v>186</v>
      </c>
      <c r="C154" s="137">
        <f>SourceData!C58</f>
        <v>171</v>
      </c>
      <c r="D154" s="137">
        <f>SourceData!D58</f>
        <v>176</v>
      </c>
      <c r="E154" s="137">
        <f>SourceData!E58</f>
        <v>186</v>
      </c>
      <c r="F154" s="137">
        <f>SourceData!F58</f>
        <v>176</v>
      </c>
      <c r="G154" s="77"/>
      <c r="H154" s="77"/>
      <c r="I154" s="77"/>
      <c r="J154" s="82" t="s">
        <v>178</v>
      </c>
      <c r="K154" s="77"/>
      <c r="L154" s="82"/>
      <c r="M154" s="77"/>
    </row>
    <row r="155" spans="1:13" customFormat="1" ht="21" customHeight="1" x14ac:dyDescent="0.3">
      <c r="A155" s="127" t="s">
        <v>130</v>
      </c>
      <c r="B155" s="128"/>
      <c r="C155" s="128"/>
      <c r="D155" s="128"/>
      <c r="E155" s="77"/>
      <c r="F155" s="77"/>
      <c r="G155" s="77"/>
      <c r="H155" s="77"/>
      <c r="I155" s="77"/>
      <c r="J155" s="82"/>
      <c r="K155" s="77"/>
      <c r="L155" s="82"/>
      <c r="M155" s="77"/>
    </row>
    <row r="156" spans="1:13" customFormat="1" ht="21" customHeight="1" x14ac:dyDescent="0.3">
      <c r="A156" s="318"/>
      <c r="B156" s="318"/>
      <c r="C156" s="318"/>
      <c r="D156" s="318"/>
      <c r="E156" s="318"/>
      <c r="F156" s="318"/>
      <c r="G156" s="318"/>
      <c r="H156" s="318"/>
      <c r="I156" s="77"/>
      <c r="J156" s="82"/>
      <c r="K156" s="77"/>
      <c r="L156" s="82"/>
      <c r="M156" s="77"/>
    </row>
    <row r="157" spans="1:13" customFormat="1" ht="21" customHeight="1" x14ac:dyDescent="0.3">
      <c r="A157" s="317"/>
      <c r="B157" s="317"/>
      <c r="C157" s="317"/>
      <c r="D157" s="317"/>
      <c r="E157" s="317"/>
      <c r="F157" s="317"/>
      <c r="G157" s="317"/>
      <c r="H157" s="317"/>
      <c r="I157" s="77"/>
      <c r="J157" s="82"/>
      <c r="K157" s="77"/>
      <c r="L157" s="82"/>
      <c r="M157" s="77"/>
    </row>
    <row r="158" spans="1:13" customFormat="1" ht="21" customHeight="1" x14ac:dyDescent="0.35">
      <c r="A158" s="122" t="s">
        <v>179</v>
      </c>
      <c r="B158" s="77"/>
      <c r="C158" s="77"/>
      <c r="D158" s="77"/>
      <c r="E158" s="77"/>
      <c r="F158" s="77"/>
      <c r="G158" s="77"/>
      <c r="H158" s="77"/>
      <c r="I158" s="77"/>
      <c r="J158" s="82"/>
      <c r="K158" s="77"/>
      <c r="L158" s="82"/>
      <c r="M158" s="77"/>
    </row>
    <row r="159" spans="1:13" customFormat="1" ht="21" customHeight="1" x14ac:dyDescent="0.3">
      <c r="A159" s="126" t="s">
        <v>180</v>
      </c>
      <c r="B159" s="77"/>
      <c r="C159" s="77"/>
      <c r="D159" s="77"/>
      <c r="E159" s="77"/>
      <c r="F159" s="77"/>
      <c r="G159" s="77"/>
      <c r="H159" s="77"/>
      <c r="I159" s="77"/>
      <c r="J159" s="82"/>
      <c r="K159" s="77"/>
      <c r="L159" s="77"/>
      <c r="M159" s="77"/>
    </row>
    <row r="160" spans="1:13" customFormat="1" ht="21" customHeight="1" x14ac:dyDescent="0.3">
      <c r="A160" s="1" t="s">
        <v>118</v>
      </c>
      <c r="B160" s="3">
        <f>IF($C$9&gt;0,$C$9-5,"")</f>
        <v>2012</v>
      </c>
      <c r="C160" s="4">
        <f>IF($C$9&gt;0,$C$9-4,"")</f>
        <v>2013</v>
      </c>
      <c r="D160" s="4">
        <f>IF($C$9&gt;0,$C$9-3,"")</f>
        <v>2014</v>
      </c>
      <c r="E160" s="4">
        <f>IF($C$9&gt;0,$C$9-2,"")</f>
        <v>2015</v>
      </c>
      <c r="F160" s="4">
        <f>IF($C$9&gt;0,$C$9-1,"")</f>
        <v>2016</v>
      </c>
      <c r="G160" s="77"/>
      <c r="H160" s="77"/>
      <c r="I160" s="77"/>
      <c r="J160" s="82"/>
      <c r="K160" s="77"/>
      <c r="L160" s="77"/>
      <c r="M160" s="77"/>
    </row>
    <row r="161" spans="1:13" customFormat="1" ht="21" customHeight="1" x14ac:dyDescent="0.3">
      <c r="A161" s="9" t="s">
        <v>181</v>
      </c>
      <c r="B161" s="137">
        <f>SourceData!B68</f>
        <v>4</v>
      </c>
      <c r="C161" s="137">
        <f>SourceData!C68</f>
        <v>3</v>
      </c>
      <c r="D161" s="137">
        <f>SourceData!D68</f>
        <v>2</v>
      </c>
      <c r="E161" s="137">
        <f>SourceData!E68</f>
        <v>3</v>
      </c>
      <c r="F161" s="137">
        <f>SourceData!F68</f>
        <v>6</v>
      </c>
      <c r="G161" s="77"/>
      <c r="H161" s="77"/>
      <c r="I161" s="77"/>
      <c r="J161" s="82" t="s">
        <v>182</v>
      </c>
      <c r="K161" s="77"/>
      <c r="L161" s="77"/>
      <c r="M161" s="77"/>
    </row>
    <row r="162" spans="1:13" customFormat="1" ht="21" customHeight="1" x14ac:dyDescent="0.3">
      <c r="A162" s="9" t="s">
        <v>183</v>
      </c>
      <c r="B162" s="137">
        <f>SourceData!B69</f>
        <v>3</v>
      </c>
      <c r="C162" s="137">
        <f>SourceData!C69</f>
        <v>2</v>
      </c>
      <c r="D162" s="137">
        <f>SourceData!D69</f>
        <v>3</v>
      </c>
      <c r="E162" s="137">
        <f>SourceData!E69</f>
        <v>3</v>
      </c>
      <c r="F162" s="137">
        <f>SourceData!F69</f>
        <v>2</v>
      </c>
      <c r="G162" s="77"/>
      <c r="H162" s="77"/>
      <c r="I162" s="77"/>
      <c r="J162" s="82" t="s">
        <v>184</v>
      </c>
      <c r="K162" s="77"/>
      <c r="L162" s="77"/>
      <c r="M162" s="77"/>
    </row>
    <row r="163" spans="1:13" customFormat="1" ht="21" customHeight="1" x14ac:dyDescent="0.3">
      <c r="A163" s="127" t="s">
        <v>130</v>
      </c>
      <c r="B163" s="128"/>
      <c r="C163" s="128"/>
      <c r="D163" s="128"/>
      <c r="E163" s="77"/>
      <c r="F163" s="77"/>
      <c r="G163" s="77"/>
      <c r="H163" s="77"/>
      <c r="I163" s="77"/>
      <c r="J163" s="82"/>
      <c r="K163" s="77"/>
      <c r="L163" s="77"/>
      <c r="M163" s="77"/>
    </row>
    <row r="164" spans="1:13" customFormat="1" ht="21" customHeight="1" x14ac:dyDescent="0.3">
      <c r="A164" s="318"/>
      <c r="B164" s="318"/>
      <c r="C164" s="318"/>
      <c r="D164" s="318"/>
      <c r="E164" s="318"/>
      <c r="F164" s="318"/>
      <c r="G164" s="318"/>
      <c r="H164" s="318"/>
      <c r="I164" s="77"/>
      <c r="J164" s="82"/>
      <c r="K164" s="77"/>
      <c r="L164" s="77"/>
      <c r="M164" s="77"/>
    </row>
    <row r="165" spans="1:13" customFormat="1" ht="21" customHeight="1" x14ac:dyDescent="0.3">
      <c r="A165" s="317"/>
      <c r="B165" s="317"/>
      <c r="C165" s="317"/>
      <c r="D165" s="317"/>
      <c r="E165" s="317"/>
      <c r="F165" s="317"/>
      <c r="G165" s="317"/>
      <c r="H165" s="317"/>
      <c r="I165" s="77"/>
      <c r="J165" s="82"/>
      <c r="K165" s="77"/>
      <c r="L165" s="82"/>
      <c r="M165" s="77"/>
    </row>
    <row r="166" spans="1:13" customFormat="1" ht="21" customHeight="1" x14ac:dyDescent="0.3">
      <c r="A166" s="77"/>
      <c r="B166" s="77"/>
      <c r="C166" s="77"/>
      <c r="D166" s="77"/>
      <c r="E166" s="77"/>
      <c r="F166" s="77"/>
      <c r="G166" s="77"/>
      <c r="H166" s="77"/>
      <c r="I166" s="77"/>
      <c r="J166" s="82"/>
      <c r="K166" s="77"/>
      <c r="L166" s="77"/>
      <c r="M166" s="77"/>
    </row>
    <row r="167" spans="1:13" customFormat="1" ht="21" customHeight="1" x14ac:dyDescent="0.35">
      <c r="A167" s="122" t="s">
        <v>185</v>
      </c>
      <c r="B167" s="77"/>
      <c r="C167" s="77"/>
      <c r="D167" s="77"/>
      <c r="E167" s="77"/>
      <c r="F167" s="77"/>
      <c r="G167" s="77"/>
      <c r="H167" s="77"/>
      <c r="I167" s="77"/>
      <c r="J167" s="82"/>
      <c r="K167" s="77"/>
      <c r="L167" s="77"/>
      <c r="M167" s="77"/>
    </row>
    <row r="168" spans="1:13" customFormat="1" ht="21" customHeight="1" x14ac:dyDescent="0.3">
      <c r="A168" s="126" t="s">
        <v>186</v>
      </c>
      <c r="B168" s="77"/>
      <c r="C168" s="77"/>
      <c r="D168" s="77"/>
      <c r="E168" s="77"/>
      <c r="F168" s="77"/>
      <c r="G168" s="77"/>
      <c r="H168" s="77"/>
      <c r="I168" s="77"/>
      <c r="J168" s="82"/>
      <c r="K168" s="77"/>
      <c r="L168" s="82"/>
      <c r="M168" s="77"/>
    </row>
    <row r="169" spans="1:13" customFormat="1" ht="21" customHeight="1" x14ac:dyDescent="0.3">
      <c r="A169" s="1" t="s">
        <v>118</v>
      </c>
      <c r="B169" s="3">
        <f>IF($C$9&gt;0,$C$9-5,"")</f>
        <v>2012</v>
      </c>
      <c r="C169" s="4">
        <f>IF($C$9&gt;0,$C$9-4,"")</f>
        <v>2013</v>
      </c>
      <c r="D169" s="4">
        <f>IF($C$9&gt;0,$C$9-3,"")</f>
        <v>2014</v>
      </c>
      <c r="E169" s="4">
        <f>IF($C$9&gt;0,$C$9-2,"")</f>
        <v>2015</v>
      </c>
      <c r="F169" s="4">
        <f>IF($C$9&gt;0,$C$9-1,"")</f>
        <v>2016</v>
      </c>
      <c r="G169" s="77"/>
      <c r="H169" s="77"/>
      <c r="I169" s="77"/>
      <c r="J169" s="82" t="s">
        <v>187</v>
      </c>
      <c r="K169" s="77"/>
      <c r="L169" s="82"/>
      <c r="M169" s="77"/>
    </row>
    <row r="170" spans="1:13" customFormat="1" ht="21" customHeight="1" x14ac:dyDescent="0.3">
      <c r="A170" s="9" t="s">
        <v>188</v>
      </c>
      <c r="B170" s="137">
        <f>SourceData!B78</f>
        <v>0</v>
      </c>
      <c r="C170" s="137">
        <f>SourceData!C78</f>
        <v>0</v>
      </c>
      <c r="D170" s="137">
        <f>SourceData!D78</f>
        <v>0</v>
      </c>
      <c r="E170" s="137">
        <f>SourceData!E78</f>
        <v>0</v>
      </c>
      <c r="F170" s="137">
        <f>SourceData!F78</f>
        <v>0</v>
      </c>
      <c r="G170" s="77"/>
      <c r="H170" s="77"/>
      <c r="I170" s="77"/>
      <c r="J170" s="82"/>
      <c r="K170" s="77"/>
      <c r="L170" s="77"/>
      <c r="M170" s="77"/>
    </row>
    <row r="171" spans="1:13" customFormat="1" ht="21" customHeight="1" x14ac:dyDescent="0.3">
      <c r="A171" s="127" t="s">
        <v>130</v>
      </c>
      <c r="B171" s="128"/>
      <c r="C171" s="128"/>
      <c r="D171" s="128"/>
      <c r="E171" s="77"/>
      <c r="F171" s="77"/>
      <c r="G171" s="77"/>
      <c r="H171" s="77"/>
      <c r="I171" s="77"/>
      <c r="J171" s="82"/>
      <c r="K171" s="77"/>
      <c r="L171" s="77"/>
      <c r="M171" s="77"/>
    </row>
    <row r="172" spans="1:13" customFormat="1" ht="21" customHeight="1" x14ac:dyDescent="0.3">
      <c r="A172" s="318"/>
      <c r="B172" s="318"/>
      <c r="C172" s="318"/>
      <c r="D172" s="318"/>
      <c r="E172" s="318"/>
      <c r="F172" s="318"/>
      <c r="G172" s="318"/>
      <c r="H172" s="318"/>
      <c r="I172" s="77"/>
      <c r="J172" s="82"/>
      <c r="K172" s="77"/>
      <c r="L172" s="82"/>
      <c r="M172" s="77"/>
    </row>
    <row r="173" spans="1:13" customFormat="1" ht="21" customHeight="1" x14ac:dyDescent="0.3">
      <c r="A173" s="317"/>
      <c r="B173" s="317"/>
      <c r="C173" s="317"/>
      <c r="D173" s="317"/>
      <c r="E173" s="317"/>
      <c r="F173" s="317"/>
      <c r="G173" s="317"/>
      <c r="H173" s="317"/>
      <c r="I173" s="77"/>
      <c r="J173" s="82"/>
      <c r="K173" s="77"/>
      <c r="L173" s="82"/>
      <c r="M173" s="77"/>
    </row>
    <row r="174" spans="1:13" customFormat="1" ht="21" customHeight="1" x14ac:dyDescent="0.3">
      <c r="A174" s="77"/>
      <c r="B174" s="77"/>
      <c r="C174" s="77"/>
      <c r="D174" s="77"/>
      <c r="E174" s="77"/>
      <c r="F174" s="77"/>
      <c r="G174" s="77"/>
      <c r="H174" s="77"/>
      <c r="I174" s="77"/>
      <c r="J174" s="82"/>
      <c r="K174" s="77"/>
      <c r="L174" s="82"/>
      <c r="M174" s="77"/>
    </row>
    <row r="175" spans="1:13" customFormat="1" ht="21" customHeight="1" x14ac:dyDescent="0.35">
      <c r="A175" s="122" t="s">
        <v>189</v>
      </c>
      <c r="J175" s="124" t="s">
        <v>190</v>
      </c>
    </row>
    <row r="176" spans="1:13" customFormat="1" ht="21" customHeight="1" x14ac:dyDescent="0.3">
      <c r="A176" s="1" t="s">
        <v>118</v>
      </c>
      <c r="B176" s="139"/>
      <c r="C176" s="139"/>
      <c r="D176" s="139"/>
      <c r="J176" s="82" t="s">
        <v>191</v>
      </c>
    </row>
    <row r="177" spans="1:13" customFormat="1" ht="21" customHeight="1" x14ac:dyDescent="0.3">
      <c r="A177" s="9" t="s">
        <v>75</v>
      </c>
      <c r="B177" s="134"/>
      <c r="C177" s="134"/>
      <c r="D177" s="134"/>
      <c r="J177" s="82" t="s">
        <v>192</v>
      </c>
    </row>
    <row r="178" spans="1:13" customFormat="1" ht="21" customHeight="1" x14ac:dyDescent="0.3">
      <c r="A178" s="9" t="s">
        <v>77</v>
      </c>
      <c r="B178" s="134"/>
      <c r="C178" s="134"/>
      <c r="D178" s="134"/>
      <c r="J178" s="82" t="s">
        <v>192</v>
      </c>
    </row>
    <row r="179" spans="1:13" customFormat="1" ht="21" customHeight="1" x14ac:dyDescent="0.3">
      <c r="A179" s="9" t="s">
        <v>79</v>
      </c>
      <c r="B179" s="134"/>
      <c r="C179" s="134"/>
      <c r="D179" s="134"/>
      <c r="J179" s="82" t="s">
        <v>192</v>
      </c>
    </row>
    <row r="180" spans="1:13" customFormat="1" ht="21" customHeight="1" x14ac:dyDescent="0.3">
      <c r="A180" s="9" t="s">
        <v>81</v>
      </c>
      <c r="B180" s="20"/>
      <c r="C180" s="20"/>
      <c r="D180" s="20"/>
      <c r="J180" s="82" t="s">
        <v>193</v>
      </c>
    </row>
    <row r="181" spans="1:13" customFormat="1" ht="21" customHeight="1" x14ac:dyDescent="0.3">
      <c r="A181" s="127" t="s">
        <v>130</v>
      </c>
      <c r="B181" s="128"/>
      <c r="C181" s="128"/>
      <c r="D181" s="128"/>
    </row>
    <row r="182" spans="1:13" customFormat="1" ht="21" customHeight="1" x14ac:dyDescent="0.3">
      <c r="A182" s="291"/>
      <c r="B182" s="315"/>
      <c r="C182" s="315"/>
      <c r="D182" s="315"/>
      <c r="E182" s="315"/>
      <c r="F182" s="315"/>
      <c r="G182" s="315"/>
      <c r="H182" s="315"/>
    </row>
    <row r="183" spans="1:13" customFormat="1" ht="21" customHeight="1" x14ac:dyDescent="0.3">
      <c r="A183" s="312"/>
      <c r="B183" s="313"/>
      <c r="C183" s="313"/>
      <c r="D183" s="313"/>
      <c r="E183" s="313"/>
      <c r="F183" s="313"/>
      <c r="G183" s="313"/>
      <c r="H183" s="313"/>
    </row>
    <row r="184" spans="1:13" customFormat="1" ht="21" customHeight="1" x14ac:dyDescent="0.3">
      <c r="A184" s="107"/>
    </row>
    <row r="185" spans="1:13" customFormat="1" ht="21" customHeight="1" x14ac:dyDescent="0.35">
      <c r="A185" s="122" t="s">
        <v>194</v>
      </c>
    </row>
    <row r="186" spans="1:13" customFormat="1" ht="21" customHeight="1" x14ac:dyDescent="0.3">
      <c r="A186" s="1" t="s">
        <v>195</v>
      </c>
      <c r="B186" s="3" t="s">
        <v>196</v>
      </c>
      <c r="C186" s="4" t="s">
        <v>64</v>
      </c>
      <c r="D186" s="4" t="s">
        <v>197</v>
      </c>
    </row>
    <row r="187" spans="1:13" customFormat="1" ht="21" customHeight="1" x14ac:dyDescent="0.3">
      <c r="A187" s="9" t="s">
        <v>198</v>
      </c>
      <c r="B187" s="140"/>
      <c r="C187" s="141"/>
      <c r="D187" s="141"/>
      <c r="J187" s="82" t="s">
        <v>199</v>
      </c>
    </row>
    <row r="188" spans="1:13" customFormat="1" ht="21" customHeight="1" x14ac:dyDescent="0.3">
      <c r="A188" s="77"/>
      <c r="B188" s="109"/>
      <c r="C188" s="109"/>
      <c r="D188" s="109"/>
      <c r="F188" s="82"/>
    </row>
    <row r="189" spans="1:13" customFormat="1" ht="21" customHeight="1" x14ac:dyDescent="0.3">
      <c r="A189" s="107" t="s">
        <v>118</v>
      </c>
      <c r="B189" s="4">
        <f>IF($C$9&gt;0,$C$9-5,"")</f>
        <v>2012</v>
      </c>
      <c r="C189" s="4">
        <f>IF($C$9&gt;0,$C$9-4,"")</f>
        <v>2013</v>
      </c>
      <c r="D189" s="4">
        <f>IF($C$9&gt;0,$C$9-3,"")</f>
        <v>2014</v>
      </c>
      <c r="E189" s="4">
        <f>IF($C$9&gt;0,$C$9-2,"")</f>
        <v>2015</v>
      </c>
      <c r="F189" s="4">
        <f>IF($C$9&gt;0,$C$9-1,"")</f>
        <v>2016</v>
      </c>
    </row>
    <row r="190" spans="1:13" customFormat="1" ht="21" customHeight="1" x14ac:dyDescent="0.3">
      <c r="A190" s="9" t="s">
        <v>200</v>
      </c>
      <c r="B190" s="132">
        <v>7</v>
      </c>
      <c r="C190" s="142">
        <v>9</v>
      </c>
      <c r="D190" s="142">
        <v>7</v>
      </c>
      <c r="E190" s="142">
        <v>8</v>
      </c>
      <c r="F190" s="112">
        <v>9</v>
      </c>
      <c r="J190" s="82" t="s">
        <v>201</v>
      </c>
    </row>
    <row r="191" spans="1:13" customFormat="1" ht="21" customHeight="1" x14ac:dyDescent="0.3">
      <c r="A191" s="107"/>
    </row>
    <row r="192" spans="1:13" s="93" customFormat="1" ht="21" customHeight="1" x14ac:dyDescent="0.25">
      <c r="A192" s="143" t="s">
        <v>202</v>
      </c>
      <c r="M192" s="144"/>
    </row>
    <row r="193" spans="1:13" s="93" customFormat="1" ht="21" customHeight="1" x14ac:dyDescent="0.25">
      <c r="A193" s="143"/>
      <c r="M193" s="144"/>
    </row>
    <row r="194" spans="1:13" s="93" customFormat="1" ht="25.5" customHeight="1" x14ac:dyDescent="0.25">
      <c r="B194" s="42" t="s">
        <v>203</v>
      </c>
      <c r="C194" s="42" t="s">
        <v>204</v>
      </c>
      <c r="D194" s="42" t="s">
        <v>205</v>
      </c>
      <c r="E194" s="42" t="s">
        <v>206</v>
      </c>
      <c r="J194" s="93" t="s">
        <v>207</v>
      </c>
    </row>
    <row r="195" spans="1:13" s="93" customFormat="1" ht="21" customHeight="1" x14ac:dyDescent="0.3">
      <c r="A195" s="93" t="s">
        <v>75</v>
      </c>
      <c r="B195" s="145">
        <v>0.26</v>
      </c>
      <c r="C195" s="43">
        <f>IF(F$190&gt;0,'Beräkning avskjutning'!G124,"")</f>
        <v>0.22449419152157069</v>
      </c>
      <c r="D195" s="44">
        <f>IF(F$190&gt;0,($D$103/1000)*$F$190*B195,"")</f>
        <v>103.8258</v>
      </c>
      <c r="E195" s="45">
        <f>IF(F$190&gt;0,F$190*B195,"")</f>
        <v>2.34</v>
      </c>
    </row>
    <row r="196" spans="1:13" s="93" customFormat="1" ht="21" customHeight="1" x14ac:dyDescent="0.3">
      <c r="A196" s="93" t="s">
        <v>208</v>
      </c>
      <c r="B196" s="145">
        <v>0.51</v>
      </c>
      <c r="C196" s="43">
        <f>IF(F$190&gt;0,'Beräkning avskjutning'!G125,"")</f>
        <v>0.55170343075809314</v>
      </c>
      <c r="D196" s="44">
        <f>IF(F$190&gt;0,($D$103/1000)*$F$190*B196,"")</f>
        <v>203.6583</v>
      </c>
      <c r="E196" s="45">
        <f>IF(F$190&gt;0,F$190*B196,"")</f>
        <v>4.59</v>
      </c>
    </row>
    <row r="197" spans="1:13" s="93" customFormat="1" ht="21" customHeight="1" x14ac:dyDescent="0.3">
      <c r="A197" s="93" t="s">
        <v>79</v>
      </c>
      <c r="B197" s="145">
        <v>0.23</v>
      </c>
      <c r="C197" s="43">
        <f>IF(F$190&gt;0,'Beräkning avskjutning'!G126,"")</f>
        <v>0.22380237772033626</v>
      </c>
      <c r="D197" s="44">
        <f>IF(F$190&gt;0,($D$103/1000)*$F$190*B197,"")</f>
        <v>91.8459</v>
      </c>
      <c r="E197" s="45">
        <f>IF(F$190&gt;0,F$190*B197,"")</f>
        <v>2.0700000000000003</v>
      </c>
    </row>
    <row r="198" spans="1:13" s="93" customFormat="1" ht="21" customHeight="1" x14ac:dyDescent="0.3">
      <c r="A198" s="93" t="s">
        <v>209</v>
      </c>
      <c r="B198" s="33">
        <f>IF(SUM(B195:B197)&gt;0,SUM(B195:B197),"")</f>
        <v>1</v>
      </c>
      <c r="C198" s="43">
        <f>IF($F190&gt;0,SUM(C195:C197),"")</f>
        <v>1</v>
      </c>
      <c r="D198" s="44">
        <f>IF($F190&gt;0,SUM(D195:D197),"")</f>
        <v>399.33000000000004</v>
      </c>
      <c r="E198" s="45">
        <f>IF($F190&gt;0,SUM(E195:E197),"")</f>
        <v>9</v>
      </c>
    </row>
    <row r="199" spans="1:13" s="93" customFormat="1" ht="21" customHeight="1" x14ac:dyDescent="0.25"/>
    <row r="200" spans="1:13" customFormat="1" ht="21" customHeight="1" x14ac:dyDescent="0.3">
      <c r="A200" s="1" t="s">
        <v>210</v>
      </c>
      <c r="B200" s="3" t="s">
        <v>197</v>
      </c>
      <c r="C200" s="4" t="s">
        <v>64</v>
      </c>
      <c r="D200" s="4" t="s">
        <v>196</v>
      </c>
    </row>
    <row r="201" spans="1:13" customFormat="1" ht="21" customHeight="1" x14ac:dyDescent="0.3">
      <c r="A201" s="9" t="s">
        <v>211</v>
      </c>
      <c r="B201" s="140"/>
      <c r="C201" s="140"/>
      <c r="D201" s="140"/>
      <c r="J201" s="82" t="s">
        <v>212</v>
      </c>
    </row>
    <row r="202" spans="1:13" customFormat="1" ht="21" customHeight="1" x14ac:dyDescent="0.3">
      <c r="A202" s="9" t="s">
        <v>213</v>
      </c>
      <c r="B202" s="140"/>
      <c r="C202" s="140"/>
      <c r="D202" s="140"/>
      <c r="G202" s="146"/>
      <c r="J202" s="82" t="s">
        <v>212</v>
      </c>
    </row>
    <row r="203" spans="1:13" customFormat="1" ht="21" customHeight="1" x14ac:dyDescent="0.3">
      <c r="A203" s="9" t="s">
        <v>214</v>
      </c>
      <c r="B203" s="140"/>
      <c r="C203" s="140"/>
      <c r="D203" s="140"/>
      <c r="J203" s="82" t="s">
        <v>212</v>
      </c>
    </row>
    <row r="204" spans="1:13" customFormat="1" ht="21" customHeight="1" x14ac:dyDescent="0.3">
      <c r="A204" s="9" t="s">
        <v>215</v>
      </c>
      <c r="B204" s="140"/>
      <c r="C204" s="140"/>
      <c r="D204" s="140"/>
      <c r="J204" s="82" t="s">
        <v>212</v>
      </c>
    </row>
    <row r="205" spans="1:13" customFormat="1" ht="15" customHeight="1" x14ac:dyDescent="0.35">
      <c r="A205" s="99"/>
      <c r="B205" s="99"/>
      <c r="C205" s="99"/>
      <c r="D205" s="99"/>
      <c r="E205" s="99"/>
      <c r="F205" s="99"/>
      <c r="G205" s="99"/>
      <c r="H205" s="99"/>
      <c r="J205" s="82"/>
    </row>
    <row r="206" spans="1:13" customFormat="1" ht="21" customHeight="1" x14ac:dyDescent="0.3">
      <c r="A206" s="107" t="s">
        <v>216</v>
      </c>
      <c r="J206" s="82"/>
    </row>
    <row r="207" spans="1:13" customFormat="1" ht="21" customHeight="1" x14ac:dyDescent="0.3">
      <c r="A207" s="77" t="s">
        <v>217</v>
      </c>
      <c r="B207" s="147"/>
      <c r="C207" s="107"/>
      <c r="D207" s="77"/>
    </row>
    <row r="208" spans="1:13" customFormat="1" ht="21" customHeight="1" x14ac:dyDescent="0.3">
      <c r="A208" s="77" t="s">
        <v>218</v>
      </c>
      <c r="B208" s="147"/>
      <c r="C208" s="148" t="s">
        <v>219</v>
      </c>
      <c r="D208" s="111">
        <v>2017</v>
      </c>
    </row>
    <row r="209" spans="1:12" customFormat="1" ht="21" customHeight="1" x14ac:dyDescent="0.3">
      <c r="A209" s="77" t="s">
        <v>220</v>
      </c>
      <c r="B209" s="147"/>
      <c r="C209" s="148" t="s">
        <v>219</v>
      </c>
      <c r="D209" s="149"/>
      <c r="E209" s="148" t="s">
        <v>221</v>
      </c>
      <c r="F209" s="309"/>
      <c r="G209" s="310"/>
      <c r="H209" s="311"/>
      <c r="J209" s="82" t="s">
        <v>222</v>
      </c>
    </row>
    <row r="210" spans="1:12" customFormat="1" ht="21" customHeight="1" x14ac:dyDescent="0.3">
      <c r="A210" s="77" t="s">
        <v>223</v>
      </c>
      <c r="B210" s="316"/>
      <c r="C210" s="316"/>
      <c r="D210" s="316"/>
      <c r="E210" s="316"/>
      <c r="F210" s="316"/>
      <c r="G210" s="316"/>
      <c r="H210" s="316"/>
    </row>
    <row r="211" spans="1:12" customFormat="1" ht="21" customHeight="1" x14ac:dyDescent="0.3">
      <c r="A211" s="77"/>
      <c r="B211" s="107"/>
      <c r="C211" s="77"/>
      <c r="D211" s="77"/>
    </row>
    <row r="212" spans="1:12" customFormat="1" ht="21" customHeight="1" x14ac:dyDescent="0.45">
      <c r="A212" s="285" t="s">
        <v>224</v>
      </c>
      <c r="B212" s="285"/>
      <c r="C212" s="285"/>
      <c r="D212" s="285"/>
      <c r="E212" s="285"/>
      <c r="F212" s="285"/>
      <c r="G212" s="285"/>
      <c r="H212" s="285"/>
    </row>
    <row r="213" spans="1:12" customFormat="1" ht="12" customHeight="1" x14ac:dyDescent="0.45">
      <c r="A213" s="136"/>
      <c r="B213" s="136"/>
      <c r="C213" s="136"/>
      <c r="D213" s="136"/>
      <c r="E213" s="136"/>
      <c r="F213" s="136"/>
      <c r="G213" s="136"/>
      <c r="H213" s="136"/>
    </row>
    <row r="214" spans="1:12" s="179" customFormat="1" ht="21" customHeight="1" x14ac:dyDescent="0.4">
      <c r="A214" s="290" t="s">
        <v>225</v>
      </c>
      <c r="B214" s="290"/>
      <c r="C214" s="290"/>
      <c r="D214" s="290"/>
      <c r="E214" s="290"/>
      <c r="F214" s="290"/>
      <c r="G214" s="290"/>
      <c r="H214" s="290"/>
      <c r="J214" s="123" t="s">
        <v>115</v>
      </c>
    </row>
    <row r="215" spans="1:12" customFormat="1" ht="21" customHeight="1" x14ac:dyDescent="0.3">
      <c r="A215" s="82" t="s">
        <v>226</v>
      </c>
    </row>
    <row r="216" spans="1:12" customFormat="1" ht="12" customHeight="1" x14ac:dyDescent="0.3">
      <c r="A216" s="77"/>
      <c r="B216" s="150"/>
      <c r="C216" s="150"/>
      <c r="D216" s="150"/>
      <c r="E216" s="150"/>
      <c r="F216" s="150"/>
      <c r="G216" s="150"/>
      <c r="H216" s="150"/>
    </row>
    <row r="217" spans="1:12" customFormat="1" ht="21" customHeight="1" x14ac:dyDescent="0.35">
      <c r="A217" s="122" t="s">
        <v>227</v>
      </c>
      <c r="B217" s="77"/>
      <c r="C217" s="77"/>
      <c r="D217" s="77"/>
      <c r="E217" s="77"/>
      <c r="F217" s="77"/>
    </row>
    <row r="218" spans="1:12" customFormat="1" ht="21" customHeight="1" x14ac:dyDescent="0.3">
      <c r="A218" s="1" t="s">
        <v>228</v>
      </c>
      <c r="B218" s="3">
        <f>IF($C$9&gt;0,$C$9-3,"")</f>
        <v>2014</v>
      </c>
      <c r="C218" s="4">
        <f>IF($C$9&gt;0,$C$9-2,"")</f>
        <v>2015</v>
      </c>
      <c r="D218" s="4">
        <f>IF($C$9&gt;0,$C$9-1,"")</f>
        <v>2016</v>
      </c>
      <c r="E218" s="4">
        <f>IF($C$9&gt;0,$C$9,"")</f>
        <v>2017</v>
      </c>
      <c r="F218" s="4">
        <f>IF($C$9&gt;0,$C$9+1,"")</f>
        <v>2018</v>
      </c>
      <c r="G218" s="4">
        <f>IF($C$9&gt;0,$C$9+2,"")</f>
        <v>2019</v>
      </c>
      <c r="H218" s="4">
        <f>IF($C$9&gt;0,$C$9+3,"")</f>
        <v>2020</v>
      </c>
      <c r="J218" s="124" t="s">
        <v>229</v>
      </c>
    </row>
    <row r="219" spans="1:12" customFormat="1" ht="21" customHeight="1" x14ac:dyDescent="0.3">
      <c r="A219" s="9" t="s">
        <v>230</v>
      </c>
      <c r="B219" s="151">
        <v>13226</v>
      </c>
      <c r="C219" s="78">
        <v>13157</v>
      </c>
      <c r="D219" s="78">
        <v>13280</v>
      </c>
      <c r="E219" s="78">
        <v>13469</v>
      </c>
      <c r="F219" s="78">
        <v>13693</v>
      </c>
      <c r="G219" s="78">
        <v>13951</v>
      </c>
      <c r="H219" s="78"/>
      <c r="J219" s="82" t="s">
        <v>231</v>
      </c>
    </row>
    <row r="220" spans="1:12" customFormat="1" ht="21" customHeight="1" x14ac:dyDescent="0.3">
      <c r="A220" s="77" t="s">
        <v>232</v>
      </c>
      <c r="B220" s="150"/>
      <c r="C220" s="117"/>
      <c r="D220" s="117">
        <v>0.55000000000000004</v>
      </c>
      <c r="E220" s="117"/>
      <c r="F220" s="150"/>
      <c r="G220" s="150"/>
      <c r="H220" s="150"/>
      <c r="J220" s="82" t="s">
        <v>233</v>
      </c>
    </row>
    <row r="221" spans="1:12" customFormat="1" ht="12" customHeight="1" x14ac:dyDescent="0.3">
      <c r="A221" s="77"/>
      <c r="B221" s="12"/>
      <c r="C221" s="12"/>
      <c r="D221" s="46"/>
      <c r="E221" s="152"/>
      <c r="F221" s="152"/>
      <c r="G221" s="152"/>
      <c r="J221" s="82"/>
      <c r="L221" s="77"/>
    </row>
    <row r="222" spans="1:12" customFormat="1" ht="21" customHeight="1" x14ac:dyDescent="0.3">
      <c r="A222" s="1" t="s">
        <v>234</v>
      </c>
      <c r="B222" s="3" t="s">
        <v>235</v>
      </c>
      <c r="C222" s="47" t="s">
        <v>64</v>
      </c>
      <c r="D222" s="47" t="s">
        <v>236</v>
      </c>
    </row>
    <row r="223" spans="1:12" customFormat="1" ht="21" customHeight="1" x14ac:dyDescent="0.3">
      <c r="A223" s="9" t="s">
        <v>237</v>
      </c>
      <c r="B223" s="153"/>
      <c r="C223" s="154"/>
      <c r="D223" s="154"/>
      <c r="J223" s="82" t="s">
        <v>238</v>
      </c>
    </row>
    <row r="224" spans="1:12" customFormat="1" ht="12" customHeight="1" x14ac:dyDescent="0.3">
      <c r="A224" s="126"/>
    </row>
    <row r="225" spans="1:12" customFormat="1" ht="21" customHeight="1" x14ac:dyDescent="0.3">
      <c r="A225" s="293" t="s">
        <v>239</v>
      </c>
      <c r="B225" s="293"/>
      <c r="C225" s="77"/>
      <c r="D225" s="77"/>
      <c r="E225" s="4">
        <f>IF($C$9&gt;0,$C$9-3,"")</f>
        <v>2014</v>
      </c>
      <c r="F225" s="4">
        <f>IF($C$9&gt;0,$C$9-2,"")</f>
        <v>2015</v>
      </c>
      <c r="G225" s="4">
        <f>IF($C$9&gt;0,$C$9-1,"")</f>
        <v>2016</v>
      </c>
      <c r="H225" s="4">
        <f>IF($C$9&gt;0,$C$9,"")</f>
        <v>2017</v>
      </c>
      <c r="J225" s="124" t="s">
        <v>240</v>
      </c>
    </row>
    <row r="226" spans="1:12" customFormat="1" ht="21" customHeight="1" x14ac:dyDescent="0.3">
      <c r="A226" s="77" t="s">
        <v>241</v>
      </c>
      <c r="B226" s="314" t="s">
        <v>102</v>
      </c>
      <c r="C226" s="314"/>
      <c r="D226" s="314"/>
      <c r="E226" s="113">
        <v>7.0000000000000007E-2</v>
      </c>
      <c r="F226" s="113"/>
      <c r="G226" s="113">
        <v>0.21</v>
      </c>
      <c r="H226" s="113"/>
      <c r="J226" s="82" t="s">
        <v>242</v>
      </c>
      <c r="L226" s="77"/>
    </row>
    <row r="227" spans="1:12" customFormat="1" ht="21" customHeight="1" x14ac:dyDescent="0.3">
      <c r="A227" s="77" t="s">
        <v>243</v>
      </c>
      <c r="B227" s="292" t="s">
        <v>102</v>
      </c>
      <c r="C227" s="292"/>
      <c r="D227" s="292"/>
      <c r="E227" s="117"/>
      <c r="F227" s="117"/>
      <c r="G227" s="117"/>
      <c r="H227" s="117"/>
      <c r="J227" s="82" t="s">
        <v>244</v>
      </c>
      <c r="L227" s="77"/>
    </row>
    <row r="228" spans="1:12" customFormat="1" ht="21" customHeight="1" x14ac:dyDescent="0.3">
      <c r="A228" s="77" t="s">
        <v>243</v>
      </c>
      <c r="B228" s="292" t="s">
        <v>102</v>
      </c>
      <c r="C228" s="292"/>
      <c r="D228" s="292"/>
      <c r="E228" s="117"/>
      <c r="F228" s="117"/>
      <c r="G228" s="117"/>
      <c r="H228" s="117"/>
      <c r="J228" s="82" t="s">
        <v>244</v>
      </c>
    </row>
    <row r="229" spans="1:12" customFormat="1" ht="21" customHeight="1" x14ac:dyDescent="0.3">
      <c r="A229" s="77" t="s">
        <v>243</v>
      </c>
      <c r="B229" s="292" t="s">
        <v>102</v>
      </c>
      <c r="C229" s="292"/>
      <c r="D229" s="292"/>
      <c r="E229" s="111"/>
      <c r="F229" s="111"/>
      <c r="G229" s="111"/>
      <c r="H229" s="111"/>
      <c r="J229" s="82" t="s">
        <v>244</v>
      </c>
    </row>
    <row r="230" spans="1:12" customFormat="1" ht="12" customHeight="1" x14ac:dyDescent="0.3">
      <c r="A230" s="126"/>
      <c r="F230" s="77"/>
      <c r="J230" s="82"/>
    </row>
    <row r="231" spans="1:12" customFormat="1" ht="21" customHeight="1" x14ac:dyDescent="0.3">
      <c r="A231" s="77"/>
      <c r="B231" s="77"/>
      <c r="C231" s="110"/>
      <c r="D231" s="110"/>
      <c r="E231" s="110"/>
      <c r="F231" s="77"/>
    </row>
    <row r="232" spans="1:12" customFormat="1" ht="21" customHeight="1" x14ac:dyDescent="0.35">
      <c r="A232" s="122" t="s">
        <v>245</v>
      </c>
      <c r="F232" s="77"/>
    </row>
    <row r="233" spans="1:12" customFormat="1" ht="21" customHeight="1" x14ac:dyDescent="0.3">
      <c r="A233" s="82"/>
      <c r="F233" s="77"/>
    </row>
    <row r="234" spans="1:12" customFormat="1" ht="21" customHeight="1" x14ac:dyDescent="0.3">
      <c r="A234" s="1" t="s">
        <v>246</v>
      </c>
      <c r="B234" s="3" t="s">
        <v>247</v>
      </c>
      <c r="C234" s="4" t="s">
        <v>248</v>
      </c>
      <c r="F234" s="77"/>
    </row>
    <row r="235" spans="1:12" customFormat="1" ht="21" customHeight="1" x14ac:dyDescent="0.3">
      <c r="A235" s="9" t="s">
        <v>249</v>
      </c>
      <c r="B235" s="157"/>
      <c r="C235" s="158"/>
      <c r="J235" s="82" t="s">
        <v>250</v>
      </c>
    </row>
    <row r="236" spans="1:12" customFormat="1" ht="21" customHeight="1" x14ac:dyDescent="0.3">
      <c r="A236" s="9" t="s">
        <v>251</v>
      </c>
      <c r="B236" s="158"/>
      <c r="C236" s="158"/>
      <c r="D236" s="4">
        <f>IF($C$9&gt;0,$C$9-2,"")</f>
        <v>2015</v>
      </c>
      <c r="E236" s="4">
        <f>IF($C$9&gt;0,$C$9-1,"")</f>
        <v>2016</v>
      </c>
      <c r="F236" s="4">
        <f>IF($C$9&gt;0,$C$9,"")</f>
        <v>2017</v>
      </c>
      <c r="J236" s="82" t="s">
        <v>250</v>
      </c>
    </row>
    <row r="237" spans="1:12" customFormat="1" ht="21" customHeight="1" x14ac:dyDescent="0.3">
      <c r="A237" s="77" t="s">
        <v>252</v>
      </c>
      <c r="B237" s="299" t="s">
        <v>253</v>
      </c>
      <c r="C237" s="300"/>
      <c r="D237" s="156" t="s">
        <v>102</v>
      </c>
      <c r="E237" s="156" t="s">
        <v>102</v>
      </c>
      <c r="F237" s="156" t="s">
        <v>102</v>
      </c>
      <c r="J237" s="82" t="s">
        <v>254</v>
      </c>
    </row>
    <row r="238" spans="1:12" customFormat="1" ht="21" customHeight="1" x14ac:dyDescent="0.3">
      <c r="A238" s="77"/>
      <c r="B238" s="109"/>
      <c r="C238" s="109"/>
    </row>
    <row r="239" spans="1:12" customFormat="1" ht="21" customHeight="1" x14ac:dyDescent="0.3">
      <c r="A239" s="107" t="s">
        <v>255</v>
      </c>
      <c r="B239" s="335"/>
      <c r="C239" s="335"/>
      <c r="D239" s="335"/>
      <c r="E239" s="335"/>
      <c r="F239" s="335"/>
      <c r="G239" s="335"/>
      <c r="H239" s="335"/>
    </row>
    <row r="240" spans="1:12" customFormat="1" ht="21" customHeight="1" x14ac:dyDescent="0.3">
      <c r="A240" s="127" t="s">
        <v>130</v>
      </c>
      <c r="B240" s="128"/>
      <c r="C240" s="128"/>
      <c r="D240" s="128"/>
    </row>
    <row r="241" spans="1:10" customFormat="1" ht="21" customHeight="1" x14ac:dyDescent="0.3">
      <c r="A241" s="291"/>
      <c r="B241" s="291"/>
      <c r="C241" s="291"/>
      <c r="D241" s="291"/>
      <c r="E241" s="291"/>
      <c r="F241" s="291"/>
      <c r="G241" s="291"/>
      <c r="H241" s="291"/>
    </row>
    <row r="242" spans="1:10" customFormat="1" ht="21" customHeight="1" x14ac:dyDescent="0.3">
      <c r="A242" s="312"/>
      <c r="B242" s="313"/>
      <c r="C242" s="313"/>
      <c r="D242" s="313"/>
      <c r="E242" s="313"/>
      <c r="F242" s="313"/>
      <c r="G242" s="313"/>
      <c r="H242" s="313"/>
    </row>
    <row r="243" spans="1:10" customFormat="1" ht="21" customHeight="1" x14ac:dyDescent="0.3">
      <c r="A243" s="312"/>
      <c r="B243" s="313"/>
      <c r="C243" s="313"/>
      <c r="D243" s="313"/>
      <c r="E243" s="313"/>
      <c r="F243" s="313"/>
      <c r="G243" s="313"/>
      <c r="H243" s="313"/>
    </row>
    <row r="244" spans="1:10" customFormat="1" ht="21" customHeight="1" x14ac:dyDescent="0.3">
      <c r="A244" s="312"/>
      <c r="B244" s="313"/>
      <c r="C244" s="313"/>
      <c r="D244" s="313"/>
      <c r="E244" s="313"/>
      <c r="F244" s="313"/>
      <c r="G244" s="313"/>
      <c r="H244" s="313"/>
    </row>
    <row r="245" spans="1:10" customFormat="1" ht="21" customHeight="1" x14ac:dyDescent="0.3">
      <c r="A245" s="77"/>
      <c r="B245" s="159"/>
      <c r="C245" s="77"/>
      <c r="D245" s="77"/>
      <c r="E245" s="77"/>
    </row>
    <row r="246" spans="1:10" s="179" customFormat="1" ht="21" customHeight="1" x14ac:dyDescent="0.4">
      <c r="A246" s="97" t="s">
        <v>256</v>
      </c>
      <c r="J246" s="160"/>
    </row>
    <row r="247" spans="1:10" customFormat="1" ht="21" customHeight="1" x14ac:dyDescent="0.3">
      <c r="A247" s="1"/>
      <c r="B247" s="3" t="s">
        <v>247</v>
      </c>
      <c r="C247" s="4" t="s">
        <v>248</v>
      </c>
    </row>
    <row r="248" spans="1:10" customFormat="1" ht="21" customHeight="1" x14ac:dyDescent="0.3">
      <c r="A248" s="9" t="s">
        <v>257</v>
      </c>
      <c r="B248" s="161"/>
      <c r="C248" s="108"/>
      <c r="D248" s="107"/>
      <c r="J248" s="82" t="s">
        <v>258</v>
      </c>
    </row>
    <row r="249" spans="1:10" customFormat="1" ht="21" customHeight="1" x14ac:dyDescent="0.3">
      <c r="A249" s="126" t="s">
        <v>259</v>
      </c>
    </row>
    <row r="250" spans="1:10" customFormat="1" ht="21" customHeight="1" x14ac:dyDescent="0.3">
      <c r="A250" s="348"/>
      <c r="B250" s="348"/>
      <c r="C250" s="348"/>
      <c r="D250" s="348"/>
      <c r="E250" s="348"/>
      <c r="F250" s="348"/>
      <c r="G250" s="348"/>
      <c r="H250" s="348"/>
    </row>
    <row r="251" spans="1:10" customFormat="1" ht="21" customHeight="1" x14ac:dyDescent="0.3">
      <c r="A251" s="107"/>
      <c r="B251" s="77"/>
      <c r="C251" s="77"/>
      <c r="D251" s="77"/>
      <c r="E251" s="77"/>
    </row>
    <row r="252" spans="1:10" s="179" customFormat="1" ht="21" customHeight="1" x14ac:dyDescent="0.4">
      <c r="A252" s="97" t="s">
        <v>260</v>
      </c>
      <c r="J252" s="160"/>
    </row>
    <row r="253" spans="1:10" customFormat="1" ht="21" customHeight="1" x14ac:dyDescent="0.3">
      <c r="A253" s="107" t="s">
        <v>261</v>
      </c>
      <c r="F253" s="77"/>
      <c r="J253" s="123" t="s">
        <v>262</v>
      </c>
    </row>
    <row r="254" spans="1:10" customFormat="1" ht="21" customHeight="1" x14ac:dyDescent="0.3">
      <c r="A254" s="1" t="s">
        <v>118</v>
      </c>
      <c r="B254" s="3">
        <f>IF($C$9&gt;0,$C$9-3,"")</f>
        <v>2014</v>
      </c>
      <c r="C254" s="4">
        <f>IF($C$9&gt;0,$C$9-2,"")</f>
        <v>2015</v>
      </c>
      <c r="D254" s="4">
        <f>IF($C$9&gt;0,$C$9-1,"")</f>
        <v>2016</v>
      </c>
      <c r="F254" s="77"/>
    </row>
    <row r="255" spans="1:10" customFormat="1" ht="21" customHeight="1" x14ac:dyDescent="0.3">
      <c r="A255" s="9" t="s">
        <v>263</v>
      </c>
      <c r="B255" s="162"/>
      <c r="C255" s="125"/>
      <c r="D255" s="125"/>
      <c r="F255" s="77"/>
      <c r="J255" s="82" t="s">
        <v>264</v>
      </c>
    </row>
    <row r="256" spans="1:10" customFormat="1" ht="21" customHeight="1" x14ac:dyDescent="0.3">
      <c r="A256" s="9" t="s">
        <v>265</v>
      </c>
      <c r="B256" s="131"/>
      <c r="C256" s="111"/>
      <c r="D256" s="111"/>
      <c r="J256" s="82" t="s">
        <v>266</v>
      </c>
    </row>
    <row r="257" spans="1:10" customFormat="1" ht="21" customHeight="1" x14ac:dyDescent="0.3">
      <c r="A257" s="9" t="s">
        <v>267</v>
      </c>
      <c r="B257" s="131"/>
      <c r="C257" s="111"/>
      <c r="D257" s="111"/>
      <c r="J257" s="82" t="s">
        <v>266</v>
      </c>
    </row>
    <row r="258" spans="1:10" customFormat="1" ht="21" customHeight="1" x14ac:dyDescent="0.3">
      <c r="A258" s="9" t="s">
        <v>268</v>
      </c>
      <c r="B258" s="131"/>
      <c r="C258" s="111"/>
      <c r="D258" s="111"/>
      <c r="J258" s="82" t="s">
        <v>266</v>
      </c>
    </row>
    <row r="259" spans="1:10" s="70" customFormat="1" ht="21" customHeight="1" x14ac:dyDescent="0.3">
      <c r="A259" s="9" t="s">
        <v>269</v>
      </c>
      <c r="B259" s="131"/>
      <c r="C259" s="111"/>
      <c r="D259" s="111"/>
      <c r="J259" s="82"/>
    </row>
    <row r="260" spans="1:10" customFormat="1" ht="21" customHeight="1" x14ac:dyDescent="0.3">
      <c r="A260" s="9" t="s">
        <v>270</v>
      </c>
      <c r="B260" s="21" t="str">
        <f>IF(B256+B257+B258+B259&gt;0,SUM(B256:B259),"")</f>
        <v/>
      </c>
      <c r="C260" s="21" t="str">
        <f>IF(C256+C257+C258+C259&gt;0,SUM(C256:C259),"")</f>
        <v/>
      </c>
      <c r="D260" s="21" t="str">
        <f>IF(D256+D257+D258+D259&gt;0,SUM(D256:D259),"")</f>
        <v/>
      </c>
      <c r="F260" s="77"/>
      <c r="J260" s="82" t="s">
        <v>271</v>
      </c>
    </row>
    <row r="261" spans="1:10" customFormat="1" ht="21" customHeight="1" x14ac:dyDescent="0.45">
      <c r="A261" s="285" t="s">
        <v>272</v>
      </c>
      <c r="B261" s="285"/>
      <c r="C261" s="285"/>
      <c r="D261" s="285"/>
      <c r="E261" s="285"/>
      <c r="F261" s="285"/>
      <c r="G261" s="285"/>
      <c r="H261" s="285"/>
    </row>
    <row r="262" spans="1:10" customFormat="1" ht="18" customHeight="1" x14ac:dyDescent="0.3">
      <c r="A262" s="77"/>
      <c r="B262" s="109"/>
      <c r="C262" s="109"/>
      <c r="D262" s="109"/>
      <c r="F262" s="77"/>
    </row>
    <row r="263" spans="1:10" s="179" customFormat="1" ht="21" customHeight="1" x14ac:dyDescent="0.4">
      <c r="A263" s="97" t="s">
        <v>273</v>
      </c>
      <c r="B263" s="163"/>
      <c r="C263" s="163"/>
      <c r="D263" s="163"/>
      <c r="J263" s="160"/>
    </row>
    <row r="264" spans="1:10" customFormat="1" ht="21" customHeight="1" x14ac:dyDescent="0.3">
      <c r="A264" s="1" t="s">
        <v>118</v>
      </c>
      <c r="B264" s="3">
        <f>IF($C$9&gt;0,$C$9-3,"")</f>
        <v>2014</v>
      </c>
      <c r="C264" s="4">
        <f>IF($C$9&gt;0,$C$9-2,"")</f>
        <v>2015</v>
      </c>
      <c r="D264" s="4">
        <f>IF($C$9&gt;0,$C$9-1,"")</f>
        <v>2016</v>
      </c>
    </row>
    <row r="265" spans="1:10" customFormat="1" ht="21" customHeight="1" x14ac:dyDescent="0.3">
      <c r="A265" s="9" t="s">
        <v>75</v>
      </c>
      <c r="B265" s="131"/>
      <c r="C265" s="111"/>
      <c r="D265" s="111"/>
      <c r="J265" s="82" t="s">
        <v>274</v>
      </c>
    </row>
    <row r="266" spans="1:10" customFormat="1" ht="21" customHeight="1" x14ac:dyDescent="0.3">
      <c r="A266" s="9" t="s">
        <v>77</v>
      </c>
      <c r="B266" s="131"/>
      <c r="C266" s="111"/>
      <c r="D266" s="111"/>
      <c r="J266" s="82" t="s">
        <v>274</v>
      </c>
    </row>
    <row r="267" spans="1:10" customFormat="1" ht="21" customHeight="1" x14ac:dyDescent="0.3">
      <c r="A267" s="9" t="s">
        <v>79</v>
      </c>
      <c r="B267" s="131"/>
      <c r="C267" s="111"/>
      <c r="D267" s="111"/>
      <c r="J267" s="82" t="s">
        <v>274</v>
      </c>
    </row>
    <row r="268" spans="1:10" s="70" customFormat="1" ht="21" customHeight="1" x14ac:dyDescent="0.3">
      <c r="A268" s="9" t="s">
        <v>275</v>
      </c>
      <c r="B268" s="131"/>
      <c r="C268" s="111"/>
      <c r="D268" s="111"/>
      <c r="J268" s="82"/>
    </row>
    <row r="269" spans="1:10" customFormat="1" ht="21" customHeight="1" x14ac:dyDescent="0.3">
      <c r="A269" s="9" t="s">
        <v>209</v>
      </c>
      <c r="B269" s="21" t="str">
        <f>IF(B265+B266+B267+B268&gt;0,SUM(B265:B268),"")</f>
        <v/>
      </c>
      <c r="C269" s="21" t="str">
        <f>IF(C265+C266+C267+C268&gt;0,SUM(C265:C268),"")</f>
        <v/>
      </c>
      <c r="D269" s="21" t="str">
        <f>IF(D265+D266+D267+D268&gt;0,SUM(D265:D268),"")</f>
        <v/>
      </c>
      <c r="J269" s="82" t="s">
        <v>276</v>
      </c>
    </row>
    <row r="270" spans="1:10" customFormat="1" ht="21" customHeight="1" x14ac:dyDescent="0.3">
      <c r="A270" s="77"/>
      <c r="B270" s="110"/>
      <c r="C270" s="110"/>
      <c r="D270" s="110"/>
    </row>
    <row r="271" spans="1:10" s="179" customFormat="1" ht="21" customHeight="1" x14ac:dyDescent="0.4">
      <c r="A271" s="97" t="s">
        <v>277</v>
      </c>
      <c r="J271" s="160"/>
    </row>
    <row r="272" spans="1:10" customFormat="1" ht="21" customHeight="1" x14ac:dyDescent="0.3">
      <c r="A272" s="107" t="s">
        <v>278</v>
      </c>
      <c r="B272" s="77"/>
    </row>
    <row r="273" spans="1:10" customFormat="1" ht="45" customHeight="1" x14ac:dyDescent="0.3">
      <c r="A273" s="6" t="s">
        <v>279</v>
      </c>
      <c r="B273" s="6" t="s">
        <v>280</v>
      </c>
      <c r="C273" s="6" t="s">
        <v>281</v>
      </c>
      <c r="D273" s="48" t="s">
        <v>282</v>
      </c>
      <c r="E273" s="48" t="s">
        <v>283</v>
      </c>
      <c r="F273" s="6" t="s">
        <v>284</v>
      </c>
      <c r="G273" s="48" t="s">
        <v>285</v>
      </c>
      <c r="H273" s="101"/>
    </row>
    <row r="274" spans="1:10" customFormat="1" ht="21" customHeight="1" x14ac:dyDescent="0.3">
      <c r="A274" s="147" t="s">
        <v>1237</v>
      </c>
      <c r="B274" s="117">
        <v>0.33</v>
      </c>
      <c r="C274" s="111">
        <v>120</v>
      </c>
      <c r="D274" s="49">
        <f>IF(C274&gt;0,(B274*C274*0.18),"")</f>
        <v>7.1280000000000001</v>
      </c>
      <c r="E274" s="8">
        <f>IF(B274&gt;0,(B274*C274*0.82),"")</f>
        <v>32.472000000000001</v>
      </c>
      <c r="F274" s="8">
        <f>IF(B274&gt;0,(B274*C274),"")</f>
        <v>39.6</v>
      </c>
      <c r="G274" s="13">
        <f>IF(B274&gt;0,(F274/C12*1000),"")</f>
        <v>0.89249492900608529</v>
      </c>
      <c r="J274" s="82" t="s">
        <v>286</v>
      </c>
    </row>
    <row r="275" spans="1:10" customFormat="1" ht="21" customHeight="1" x14ac:dyDescent="0.3">
      <c r="A275" s="147"/>
      <c r="B275" s="117"/>
      <c r="C275" s="111"/>
      <c r="D275" s="49" t="str">
        <f>IF(C275&gt;0,(B275*C275*0.18),"")</f>
        <v/>
      </c>
      <c r="E275" s="8" t="str">
        <f>IF(B275&gt;0,(B275*C275*0.82),"")</f>
        <v/>
      </c>
      <c r="F275" s="8" t="str">
        <f>IF(B275&gt;0,(B275*C275),"")</f>
        <v/>
      </c>
      <c r="G275" s="13" t="str">
        <f>IF(B275&gt;0,(F275/C12*1000),"")</f>
        <v/>
      </c>
      <c r="J275" s="82" t="s">
        <v>286</v>
      </c>
    </row>
    <row r="276" spans="1:10" customFormat="1" ht="21" customHeight="1" x14ac:dyDescent="0.3">
      <c r="A276" s="147"/>
      <c r="B276" s="117"/>
      <c r="C276" s="111"/>
      <c r="D276" s="49" t="str">
        <f>IF(C276&gt;0,(B276*C276*0.18),"")</f>
        <v/>
      </c>
      <c r="E276" s="8" t="str">
        <f>IF(B276&gt;0,(B276*C276*0.82),"")</f>
        <v/>
      </c>
      <c r="F276" s="8" t="str">
        <f>IF(B276&gt;0,(B276*C276),"")</f>
        <v/>
      </c>
      <c r="G276" s="13" t="str">
        <f>IF(B276&gt;0,(F276/C12*1000),"")</f>
        <v/>
      </c>
      <c r="J276" s="82" t="s">
        <v>286</v>
      </c>
    </row>
    <row r="277" spans="1:10" customFormat="1" ht="21" customHeight="1" x14ac:dyDescent="0.3">
      <c r="A277" s="147"/>
      <c r="B277" s="117"/>
      <c r="C277" s="111"/>
      <c r="D277" s="49" t="str">
        <f>IF(C277&gt;0,(B277*C277*0.18),"")</f>
        <v/>
      </c>
      <c r="E277" s="8" t="str">
        <f>IF(B277&gt;0,(B277*C277*0.82),"")</f>
        <v/>
      </c>
      <c r="F277" s="8" t="str">
        <f>IF(B277&gt;0,(B277*C277),"")</f>
        <v/>
      </c>
      <c r="G277" s="13" t="str">
        <f>IF(B277&gt;0,(F277/C12*1000),"")</f>
        <v/>
      </c>
      <c r="J277" s="82" t="s">
        <v>286</v>
      </c>
    </row>
    <row r="278" spans="1:10" customFormat="1" ht="21" customHeight="1" x14ac:dyDescent="0.3">
      <c r="A278" s="147"/>
      <c r="B278" s="117"/>
      <c r="C278" s="111"/>
      <c r="D278" s="49" t="str">
        <f>IF(C278&gt;0,(B278*C278*0.18),"")</f>
        <v/>
      </c>
      <c r="E278" s="8" t="str">
        <f>IF(B278&gt;0,(B278*C278*0.82),"")</f>
        <v/>
      </c>
      <c r="F278" s="8" t="str">
        <f>IF(B278&gt;0,(B278*C278),"")</f>
        <v/>
      </c>
      <c r="G278" s="13" t="str">
        <f>IF(B278&gt;0,(F278/C12*1000),"")</f>
        <v/>
      </c>
      <c r="J278" s="82" t="s">
        <v>286</v>
      </c>
    </row>
    <row r="279" spans="1:10" customFormat="1" ht="21" customHeight="1" x14ac:dyDescent="0.3">
      <c r="A279" s="50"/>
      <c r="B279" s="51"/>
      <c r="C279" s="22" t="s">
        <v>287</v>
      </c>
      <c r="D279" s="8">
        <f>IF(B274+B275+B276+B277+B278&gt;0,SUM(D274:D278),"")</f>
        <v>7.1280000000000001</v>
      </c>
      <c r="E279" s="8">
        <f>IF(B274+B275+B276+B277+B278&gt;0,SUM(E274:E278),"")</f>
        <v>32.472000000000001</v>
      </c>
      <c r="F279" s="8">
        <f>IF(B274+B275+B276+B277+B278&gt;0,SUM(F274:F278),"")</f>
        <v>39.6</v>
      </c>
      <c r="G279" s="13">
        <f>IF(B274+B275+B276+B277+B278&gt;0,SUM(G274:G278),"")</f>
        <v>0.89249492900608529</v>
      </c>
      <c r="J279" s="82" t="s">
        <v>288</v>
      </c>
    </row>
    <row r="280" spans="1:10" customFormat="1" ht="21" customHeight="1" x14ac:dyDescent="0.3">
      <c r="A280" s="77"/>
      <c r="C280" s="109"/>
      <c r="D280" s="164"/>
      <c r="E280" s="77"/>
    </row>
    <row r="281" spans="1:10" customFormat="1" ht="45" customHeight="1" x14ac:dyDescent="0.3">
      <c r="A281" s="6" t="s">
        <v>289</v>
      </c>
      <c r="B281" s="6" t="s">
        <v>290</v>
      </c>
      <c r="C281" s="6" t="s">
        <v>291</v>
      </c>
      <c r="D281" s="48" t="s">
        <v>282</v>
      </c>
      <c r="E281" s="48" t="s">
        <v>283</v>
      </c>
      <c r="F281" s="6" t="s">
        <v>292</v>
      </c>
      <c r="G281" s="48" t="s">
        <v>285</v>
      </c>
    </row>
    <row r="282" spans="1:10" customFormat="1" ht="21" customHeight="1" x14ac:dyDescent="0.3">
      <c r="A282" s="142">
        <v>15</v>
      </c>
      <c r="B282" s="8">
        <f>IF(A282&gt;0,(A282*C12/100000),"")</f>
        <v>6.6555</v>
      </c>
      <c r="C282" s="165">
        <v>7.3</v>
      </c>
      <c r="D282" s="8">
        <f>IF(C282&gt;0,(0.07*F282),"")</f>
        <v>1.70048025</v>
      </c>
      <c r="E282" s="8">
        <f>IF(C282&gt;0,(F282*0.93),"")</f>
        <v>22.592094750000001</v>
      </c>
      <c r="F282" s="8">
        <f>IF(C282&gt;0,(A282*(C12/100000)*0.5*C282),"")</f>
        <v>24.292574999999999</v>
      </c>
      <c r="G282" s="13">
        <f>IF(C282&gt;0,F282/C12*1000,"")</f>
        <v>0.54749999999999999</v>
      </c>
      <c r="J282" s="82" t="s">
        <v>293</v>
      </c>
    </row>
    <row r="283" spans="1:10" customFormat="1" ht="21" customHeight="1" x14ac:dyDescent="0.3">
      <c r="A283" s="77"/>
      <c r="C283" s="109"/>
      <c r="D283" s="164"/>
      <c r="E283" s="77"/>
    </row>
    <row r="284" spans="1:10" customFormat="1" ht="21" customHeight="1" x14ac:dyDescent="0.3">
      <c r="A284" s="77"/>
      <c r="B284" s="77"/>
      <c r="C284" s="7" t="s">
        <v>294</v>
      </c>
      <c r="D284" s="8">
        <f>IF(C274+C275+C276+C277+C278+C282&gt;0,SUM(D279:D282),"")</f>
        <v>8.8284802500000001</v>
      </c>
      <c r="E284" s="8">
        <f>IF(C274+C275+C276+C277+C278+C282&gt;0,SUM(E279:E282),"")</f>
        <v>55.064094750000002</v>
      </c>
      <c r="F284" s="8">
        <f>IF(C274+C275+C276+C277+C278+C282&gt;0,SUM(F279:F282),"")</f>
        <v>63.892575000000001</v>
      </c>
      <c r="G284" s="13">
        <f>IF(C274+C275+C276+C277+C278+C282&gt;0,SUM(G279:G282),"")</f>
        <v>1.4399949290060854</v>
      </c>
      <c r="H284" s="77"/>
      <c r="J284" s="82" t="s">
        <v>295</v>
      </c>
    </row>
    <row r="285" spans="1:10" customFormat="1" ht="21" customHeight="1" x14ac:dyDescent="0.3">
      <c r="A285" s="107" t="s">
        <v>296</v>
      </c>
      <c r="C285" s="109"/>
      <c r="D285" s="164"/>
      <c r="E285" s="77"/>
      <c r="J285" s="82"/>
    </row>
    <row r="286" spans="1:10" customFormat="1" ht="21" customHeight="1" x14ac:dyDescent="0.3">
      <c r="A286" s="107" t="s">
        <v>297</v>
      </c>
      <c r="C286" s="109"/>
      <c r="D286" s="164"/>
      <c r="E286" s="77"/>
    </row>
    <row r="287" spans="1:10" customFormat="1" ht="21" customHeight="1" x14ac:dyDescent="0.3">
      <c r="A287" s="107" t="s">
        <v>298</v>
      </c>
    </row>
    <row r="288" spans="1:10" customFormat="1" ht="21" customHeight="1" x14ac:dyDescent="0.3">
      <c r="A288" s="107" t="s">
        <v>299</v>
      </c>
    </row>
    <row r="289" spans="1:10" customFormat="1" ht="21" customHeight="1" x14ac:dyDescent="0.3">
      <c r="A289" s="107"/>
    </row>
    <row r="290" spans="1:10" customFormat="1" ht="21" customHeight="1" x14ac:dyDescent="0.3">
      <c r="A290" s="107"/>
    </row>
    <row r="291" spans="1:10" customFormat="1" ht="21" customHeight="1" x14ac:dyDescent="0.45">
      <c r="A291" s="336" t="s">
        <v>300</v>
      </c>
      <c r="B291" s="336"/>
      <c r="C291" s="336"/>
      <c r="D291" s="336"/>
      <c r="E291" s="336"/>
      <c r="F291" s="336"/>
      <c r="G291" s="336"/>
      <c r="H291" s="336"/>
    </row>
    <row r="292" spans="1:10" customFormat="1" ht="21" customHeight="1" x14ac:dyDescent="0.3">
      <c r="A292" s="107"/>
      <c r="B292" s="77"/>
      <c r="C292" s="77"/>
      <c r="D292" s="77"/>
    </row>
    <row r="293" spans="1:10" customFormat="1" ht="21" customHeight="1" x14ac:dyDescent="0.3">
      <c r="A293" s="293"/>
      <c r="B293" s="294"/>
      <c r="C293" s="10" t="s">
        <v>301</v>
      </c>
      <c r="D293" s="2" t="s">
        <v>302</v>
      </c>
      <c r="E293" s="2" t="s">
        <v>303</v>
      </c>
      <c r="F293" s="289" t="s">
        <v>304</v>
      </c>
      <c r="G293" s="289"/>
      <c r="H293" s="289"/>
      <c r="J293" s="166" t="s">
        <v>305</v>
      </c>
    </row>
    <row r="294" spans="1:10" customFormat="1" ht="21" customHeight="1" x14ac:dyDescent="0.3">
      <c r="A294" s="286" t="s">
        <v>306</v>
      </c>
      <c r="B294" s="287"/>
      <c r="C294" s="16">
        <f>IF(C71&gt;0, C71, "")</f>
        <v>7.8431372549019605</v>
      </c>
      <c r="D294" s="18">
        <f>IF(F190&gt;0, F190, "")</f>
        <v>9</v>
      </c>
      <c r="E294" s="156" t="s">
        <v>102</v>
      </c>
      <c r="F294" s="295"/>
      <c r="G294" s="295"/>
      <c r="H294" s="295"/>
      <c r="J294" s="82" t="s">
        <v>307</v>
      </c>
    </row>
    <row r="295" spans="1:10" customFormat="1" ht="21" customHeight="1" x14ac:dyDescent="0.3">
      <c r="A295" s="286" t="s">
        <v>308</v>
      </c>
      <c r="B295" s="287"/>
      <c r="C295" s="17">
        <f>IF(C12&gt;0, C294*C12/1000, "")</f>
        <v>348</v>
      </c>
      <c r="D295" s="17">
        <f>IF(C12&gt;0, D294*C12/1000, "")</f>
        <v>399.33</v>
      </c>
      <c r="E295" s="156" t="s">
        <v>102</v>
      </c>
      <c r="F295" s="296"/>
      <c r="G295" s="297"/>
      <c r="H295" s="298"/>
      <c r="J295" s="82" t="s">
        <v>309</v>
      </c>
    </row>
    <row r="296" spans="1:10" customFormat="1" ht="21" customHeight="1" x14ac:dyDescent="0.3">
      <c r="A296" s="286" t="s">
        <v>310</v>
      </c>
      <c r="B296" s="287"/>
      <c r="C296" s="22">
        <f>IF(B77&gt;0, B77, "")</f>
        <v>0.4</v>
      </c>
      <c r="D296" s="22">
        <f>IF(C118+D118+E118&gt;0, AVERAGE(C118:E118), "")</f>
        <v>0.34699999999999998</v>
      </c>
      <c r="E296" s="156" t="s">
        <v>102</v>
      </c>
      <c r="F296" s="295"/>
      <c r="G296" s="295"/>
      <c r="H296" s="295"/>
      <c r="J296" s="82" t="s">
        <v>311</v>
      </c>
    </row>
    <row r="297" spans="1:10" customFormat="1" ht="21" customHeight="1" x14ac:dyDescent="0.3">
      <c r="A297" s="286" t="s">
        <v>312</v>
      </c>
      <c r="B297" s="287"/>
      <c r="C297" s="40">
        <f>IF(B78&gt;0, B78, "")</f>
        <v>0.8</v>
      </c>
      <c r="D297" s="52">
        <f>IF(C117+D117+E117&gt;0, AVERAGE(C117:E117), "")</f>
        <v>0.62966666666666671</v>
      </c>
      <c r="E297" s="156" t="s">
        <v>102</v>
      </c>
      <c r="F297" s="295"/>
      <c r="G297" s="295"/>
      <c r="H297" s="295"/>
      <c r="J297" s="82" t="s">
        <v>311</v>
      </c>
    </row>
    <row r="298" spans="1:10" customFormat="1" ht="21" customHeight="1" x14ac:dyDescent="0.3">
      <c r="A298" s="286" t="s">
        <v>313</v>
      </c>
      <c r="B298" s="287"/>
      <c r="C298" s="22">
        <f>IF(B79&gt;0, B79, "")</f>
        <v>0.5</v>
      </c>
      <c r="D298" s="22">
        <f>IF(B100+C100+D100&gt;0, AVERAGE(B107:D107), "")</f>
        <v>0.52264006602347823</v>
      </c>
      <c r="E298" s="156" t="s">
        <v>102</v>
      </c>
      <c r="F298" s="295"/>
      <c r="G298" s="295"/>
      <c r="H298" s="295"/>
      <c r="J298" s="82" t="s">
        <v>311</v>
      </c>
    </row>
    <row r="299" spans="1:10" customFormat="1" ht="21" customHeight="1" x14ac:dyDescent="0.3">
      <c r="A299" s="286" t="s">
        <v>98</v>
      </c>
      <c r="B299" s="287"/>
      <c r="C299" s="21">
        <f>IF(B80&gt;0, B80, "")</f>
        <v>70</v>
      </c>
      <c r="D299" s="8">
        <f>IF(D145+E145+F145&gt;0,AVERAGE(D145:F145), "")</f>
        <v>67.800000000000011</v>
      </c>
      <c r="E299" s="156" t="s">
        <v>102</v>
      </c>
      <c r="F299" s="295"/>
      <c r="G299" s="295"/>
      <c r="H299" s="295"/>
      <c r="J299" s="82" t="s">
        <v>311</v>
      </c>
    </row>
    <row r="300" spans="1:10" customFormat="1" ht="21" customHeight="1" x14ac:dyDescent="0.3">
      <c r="A300" s="286" t="s">
        <v>314</v>
      </c>
      <c r="B300" s="287"/>
      <c r="C300" s="22">
        <f>IF(E88&gt;0, E88, "")</f>
        <v>0.04</v>
      </c>
      <c r="D300" s="22">
        <f>IF(F226+G226+H226&gt;0, AVERAGE(F226:H226), "")</f>
        <v>0.21</v>
      </c>
      <c r="E300" s="155" t="s">
        <v>102</v>
      </c>
      <c r="F300" s="295"/>
      <c r="G300" s="295"/>
      <c r="H300" s="295"/>
      <c r="J300" s="82" t="s">
        <v>315</v>
      </c>
    </row>
    <row r="301" spans="1:10" customFormat="1" ht="21" customHeight="1" x14ac:dyDescent="0.3">
      <c r="A301" s="286" t="str">
        <f>B227</f>
        <v>Välj i lista</v>
      </c>
      <c r="B301" s="287"/>
      <c r="C301" s="167"/>
      <c r="D301" s="22" t="str">
        <f>IF(F227+G227+H227&gt;0, AVERAGE(F227:H227), "")</f>
        <v/>
      </c>
      <c r="E301" s="156" t="s">
        <v>102</v>
      </c>
      <c r="F301" s="295"/>
      <c r="G301" s="295"/>
      <c r="H301" s="295"/>
      <c r="J301" s="82" t="s">
        <v>316</v>
      </c>
    </row>
    <row r="302" spans="1:10" customFormat="1" ht="21" customHeight="1" x14ac:dyDescent="0.3">
      <c r="A302" s="286" t="s">
        <v>317</v>
      </c>
      <c r="B302" s="287"/>
      <c r="C302" s="167"/>
      <c r="D302" s="168"/>
      <c r="E302" s="155" t="s">
        <v>102</v>
      </c>
      <c r="F302" s="295"/>
      <c r="G302" s="295"/>
      <c r="H302" s="295"/>
      <c r="J302" s="82" t="s">
        <v>318</v>
      </c>
    </row>
    <row r="303" spans="1:10" customFormat="1" ht="21" customHeight="1" x14ac:dyDescent="0.3">
      <c r="A303" s="286" t="s">
        <v>319</v>
      </c>
      <c r="B303" s="287"/>
      <c r="C303" s="167"/>
      <c r="D303" s="19" t="str">
        <f>IF(D255&gt;0, D255, "")</f>
        <v/>
      </c>
      <c r="E303" s="156" t="s">
        <v>102</v>
      </c>
      <c r="F303" s="295"/>
      <c r="G303" s="295"/>
      <c r="H303" s="295"/>
      <c r="J303" s="82" t="s">
        <v>320</v>
      </c>
    </row>
    <row r="304" spans="1:10" customFormat="1" ht="21" customHeight="1" x14ac:dyDescent="0.3">
      <c r="A304" s="286" t="s">
        <v>321</v>
      </c>
      <c r="B304" s="287"/>
      <c r="C304" s="167"/>
      <c r="D304" s="19" t="str">
        <f>IF(D269&gt;0, D269, "")</f>
        <v/>
      </c>
      <c r="E304" s="156" t="s">
        <v>102</v>
      </c>
      <c r="F304" s="295"/>
      <c r="G304" s="295"/>
      <c r="H304" s="295"/>
      <c r="J304" s="82" t="s">
        <v>320</v>
      </c>
    </row>
    <row r="305" spans="1:10" customFormat="1" ht="21" customHeight="1" x14ac:dyDescent="0.3">
      <c r="A305" s="286" t="s">
        <v>322</v>
      </c>
      <c r="B305" s="287"/>
      <c r="C305" s="167"/>
      <c r="D305" s="19">
        <f>IF(F284&gt;0, F284, "")</f>
        <v>63.892575000000001</v>
      </c>
      <c r="E305" s="156" t="s">
        <v>102</v>
      </c>
      <c r="F305" s="295"/>
      <c r="G305" s="295"/>
      <c r="H305" s="295"/>
      <c r="J305" s="82" t="s">
        <v>320</v>
      </c>
    </row>
    <row r="306" spans="1:10" customFormat="1" ht="21" customHeight="1" x14ac:dyDescent="0.3">
      <c r="A306" s="107"/>
      <c r="B306" s="77"/>
      <c r="C306" s="77"/>
      <c r="D306" s="77"/>
    </row>
    <row r="307" spans="1:10" customFormat="1" ht="21" customHeight="1" x14ac:dyDescent="0.3">
      <c r="B307" s="77"/>
      <c r="C307" s="77"/>
      <c r="D307" s="77"/>
    </row>
    <row r="308" spans="1:10" customFormat="1" ht="21" customHeight="1" x14ac:dyDescent="0.45">
      <c r="A308" s="288" t="s">
        <v>323</v>
      </c>
      <c r="B308" s="288"/>
      <c r="C308" s="288"/>
      <c r="D308" s="288"/>
      <c r="E308" s="288"/>
      <c r="F308" s="288"/>
      <c r="G308" s="288"/>
      <c r="H308" s="288"/>
    </row>
    <row r="309" spans="1:10" customFormat="1" ht="21" customHeight="1" x14ac:dyDescent="0.35">
      <c r="A309" s="99"/>
      <c r="B309" s="99"/>
      <c r="C309" s="99"/>
      <c r="D309" s="99"/>
      <c r="E309" s="99"/>
      <c r="F309" s="99"/>
      <c r="G309" s="99"/>
      <c r="H309" s="99"/>
      <c r="J309" s="82"/>
    </row>
    <row r="310" spans="1:10" s="179" customFormat="1" ht="21" customHeight="1" x14ac:dyDescent="0.4">
      <c r="A310" s="97" t="s">
        <v>324</v>
      </c>
      <c r="J310" s="160"/>
    </row>
    <row r="311" spans="1:10" customFormat="1" ht="21" customHeight="1" x14ac:dyDescent="0.3">
      <c r="A311" s="82"/>
    </row>
    <row r="312" spans="1:10" customFormat="1" ht="21" customHeight="1" x14ac:dyDescent="0.3">
      <c r="A312" s="107" t="s">
        <v>118</v>
      </c>
      <c r="B312" s="4">
        <f>IF($C$9&gt;0,$C$9,"")</f>
        <v>2017</v>
      </c>
      <c r="C312" s="4">
        <f>IF($C$9&gt;0,$C$9+1,"")</f>
        <v>2018</v>
      </c>
      <c r="D312" s="4">
        <f>IF($C$9&gt;0,$C$9+2,"")</f>
        <v>2019</v>
      </c>
      <c r="E312" s="109"/>
      <c r="F312" s="349" t="s">
        <v>325</v>
      </c>
      <c r="G312" s="349"/>
      <c r="J312" s="82" t="s">
        <v>326</v>
      </c>
    </row>
    <row r="313" spans="1:10" customFormat="1" ht="21" customHeight="1" x14ac:dyDescent="0.3">
      <c r="A313" s="77" t="s">
        <v>75</v>
      </c>
      <c r="B313" s="169">
        <v>31</v>
      </c>
      <c r="C313" s="169">
        <v>31</v>
      </c>
      <c r="D313" s="169">
        <v>31</v>
      </c>
      <c r="E313" s="170"/>
      <c r="F313" s="275"/>
      <c r="G313" s="276"/>
      <c r="H313" s="277"/>
      <c r="J313" s="82" t="s">
        <v>327</v>
      </c>
    </row>
    <row r="314" spans="1:10" customFormat="1" ht="21" customHeight="1" x14ac:dyDescent="0.3">
      <c r="A314" s="77" t="s">
        <v>120</v>
      </c>
      <c r="B314" s="169">
        <v>31</v>
      </c>
      <c r="C314" s="169">
        <v>31</v>
      </c>
      <c r="D314" s="169">
        <v>31</v>
      </c>
      <c r="E314" s="170"/>
      <c r="F314" s="278"/>
      <c r="G314" s="279"/>
      <c r="H314" s="280"/>
      <c r="J314" s="82" t="s">
        <v>328</v>
      </c>
    </row>
    <row r="315" spans="1:10" customFormat="1" ht="21" customHeight="1" x14ac:dyDescent="0.3">
      <c r="A315" s="77" t="s">
        <v>79</v>
      </c>
      <c r="B315" s="169">
        <v>62</v>
      </c>
      <c r="C315" s="169">
        <v>62</v>
      </c>
      <c r="D315" s="169">
        <v>62</v>
      </c>
      <c r="E315" s="170"/>
      <c r="F315" s="281"/>
      <c r="G315" s="282"/>
      <c r="H315" s="283"/>
      <c r="J315" s="82" t="s">
        <v>329</v>
      </c>
    </row>
    <row r="316" spans="1:10" customFormat="1" ht="21" customHeight="1" x14ac:dyDescent="0.3">
      <c r="A316" s="77" t="s">
        <v>330</v>
      </c>
      <c r="B316" s="8">
        <f>IF(B313+B314+B315&gt;0,SUM(B313:B315), "")</f>
        <v>124</v>
      </c>
      <c r="C316" s="8">
        <f>IF(C313+C314+C315&gt;0,SUM(C313:C315), "")</f>
        <v>124</v>
      </c>
      <c r="D316" s="8">
        <f>IF(D313+D314+D315&gt;0,SUM(D313:D315), "")</f>
        <v>124</v>
      </c>
      <c r="E316" s="110"/>
      <c r="F316" s="110"/>
      <c r="G316" s="110"/>
      <c r="J316" s="82" t="s">
        <v>331</v>
      </c>
    </row>
    <row r="317" spans="1:10" customFormat="1" ht="21" customHeight="1" x14ac:dyDescent="0.3">
      <c r="A317" s="77" t="s">
        <v>332</v>
      </c>
      <c r="B317" s="22">
        <f>IF(B313+B314&gt;0,(B313/(B313+B314)),"")</f>
        <v>0.5</v>
      </c>
      <c r="C317" s="22">
        <f>IF(C313+C314&gt;0,(C313/(C313+C314)),"")</f>
        <v>0.5</v>
      </c>
      <c r="D317" s="22">
        <f>IF(D313+D314&gt;0,(D313/(D313+D314)),"")</f>
        <v>0.5</v>
      </c>
      <c r="E317" s="120"/>
      <c r="F317" s="120"/>
      <c r="G317" s="120"/>
      <c r="J317" s="82" t="s">
        <v>333</v>
      </c>
    </row>
    <row r="318" spans="1:10" customFormat="1" ht="21" customHeight="1" x14ac:dyDescent="0.3">
      <c r="A318" s="77" t="s">
        <v>334</v>
      </c>
      <c r="B318" s="22">
        <f>IF(B315&gt;0,(B315/B316),"")</f>
        <v>0.5</v>
      </c>
      <c r="C318" s="22">
        <f>IF(C315&gt;0,(C315/C316),"")</f>
        <v>0.5</v>
      </c>
      <c r="D318" s="22">
        <f>IF(D315&gt;0,(D315/D316),"")</f>
        <v>0.5</v>
      </c>
      <c r="E318" s="120"/>
      <c r="F318" s="120"/>
      <c r="G318" s="120"/>
      <c r="J318" s="82" t="s">
        <v>335</v>
      </c>
    </row>
    <row r="319" spans="1:10" customFormat="1" ht="21" customHeight="1" x14ac:dyDescent="0.3">
      <c r="A319" s="77" t="s">
        <v>124</v>
      </c>
      <c r="B319" s="171">
        <v>44370</v>
      </c>
      <c r="C319" s="171">
        <v>44370</v>
      </c>
      <c r="D319" s="171">
        <v>44370</v>
      </c>
      <c r="J319" s="82" t="s">
        <v>336</v>
      </c>
    </row>
    <row r="320" spans="1:10" customFormat="1" ht="21" customHeight="1" x14ac:dyDescent="0.3">
      <c r="A320" s="77" t="s">
        <v>122</v>
      </c>
      <c r="B320" s="13">
        <f>IF(B313+B314+B315&gt;0,B316/B319*1000,"")</f>
        <v>2.7946810908271353</v>
      </c>
      <c r="C320" s="13">
        <f>IF(C313+C314+C315&gt;0,C316/C319*1000,"")</f>
        <v>2.7946810908271353</v>
      </c>
      <c r="D320" s="13">
        <f>IF(D313+D314+D315&gt;0,D316/D319*1000,"")</f>
        <v>2.7946810908271353</v>
      </c>
      <c r="E320" s="172"/>
      <c r="F320" s="172"/>
      <c r="G320" s="172"/>
      <c r="J320" s="82" t="s">
        <v>337</v>
      </c>
    </row>
    <row r="321" spans="1:10" customFormat="1" ht="21" customHeight="1" x14ac:dyDescent="0.3">
      <c r="A321" s="107"/>
    </row>
    <row r="322" spans="1:10" customFormat="1" ht="21" customHeight="1" x14ac:dyDescent="0.3">
      <c r="A322" s="126" t="s">
        <v>338</v>
      </c>
    </row>
    <row r="323" spans="1:10" customFormat="1" ht="21" customHeight="1" x14ac:dyDescent="0.3">
      <c r="A323" s="348"/>
      <c r="B323" s="348"/>
      <c r="C323" s="348"/>
      <c r="D323" s="348"/>
      <c r="E323" s="348"/>
      <c r="F323" s="348"/>
      <c r="G323" s="348"/>
      <c r="H323" s="348"/>
    </row>
    <row r="324" spans="1:10" customFormat="1" ht="21" customHeight="1" x14ac:dyDescent="0.3">
      <c r="A324" s="347"/>
      <c r="B324" s="313"/>
      <c r="C324" s="313"/>
      <c r="D324" s="313"/>
      <c r="E324" s="313"/>
      <c r="F324" s="313"/>
      <c r="G324" s="313"/>
      <c r="H324" s="313"/>
    </row>
    <row r="325" spans="1:10" customFormat="1" ht="21" customHeight="1" x14ac:dyDescent="0.3">
      <c r="A325" s="107"/>
    </row>
    <row r="326" spans="1:10" s="179" customFormat="1" ht="21" customHeight="1" x14ac:dyDescent="0.4">
      <c r="A326" s="173" t="s">
        <v>339</v>
      </c>
      <c r="J326" s="160"/>
    </row>
    <row r="327" spans="1:10" customFormat="1" ht="21" customHeight="1" x14ac:dyDescent="0.3">
      <c r="A327" s="53" t="s">
        <v>118</v>
      </c>
      <c r="B327" s="11">
        <f>IF(C9&gt;0,C9+1,"")</f>
        <v>2018</v>
      </c>
      <c r="C327" s="5">
        <f>IF(C9&gt;0,C9+2,"")</f>
        <v>2019</v>
      </c>
      <c r="D327" s="5">
        <f>IF(C9&gt;0,C9+3,"")</f>
        <v>2020</v>
      </c>
    </row>
    <row r="328" spans="1:10" customFormat="1" ht="21" customHeight="1" x14ac:dyDescent="0.3">
      <c r="A328" s="15" t="s">
        <v>340</v>
      </c>
      <c r="B328" s="174"/>
      <c r="C328" s="175"/>
      <c r="D328" s="175"/>
      <c r="J328" s="82" t="s">
        <v>341</v>
      </c>
    </row>
    <row r="329" spans="1:10" customFormat="1" ht="21" customHeight="1" x14ac:dyDescent="0.3">
      <c r="A329" s="15" t="s">
        <v>218</v>
      </c>
      <c r="B329" s="174"/>
      <c r="C329" s="175"/>
      <c r="D329" s="175"/>
      <c r="J329" s="82" t="s">
        <v>341</v>
      </c>
    </row>
    <row r="330" spans="1:10" customFormat="1" ht="21" customHeight="1" x14ac:dyDescent="0.3">
      <c r="A330" s="15" t="s">
        <v>220</v>
      </c>
      <c r="B330" s="174"/>
      <c r="C330" s="175"/>
      <c r="D330" s="175"/>
      <c r="J330" s="82" t="s">
        <v>341</v>
      </c>
    </row>
    <row r="331" spans="1:10" customFormat="1" ht="21" customHeight="1" x14ac:dyDescent="0.3">
      <c r="A331" s="15" t="s">
        <v>342</v>
      </c>
      <c r="B331" s="174"/>
      <c r="C331" s="175"/>
      <c r="D331" s="175"/>
      <c r="J331" s="82" t="s">
        <v>343</v>
      </c>
    </row>
    <row r="332" spans="1:10" customFormat="1" ht="21" customHeight="1" x14ac:dyDescent="0.3">
      <c r="A332" s="15" t="s">
        <v>217</v>
      </c>
      <c r="B332" s="174"/>
      <c r="C332" s="175"/>
      <c r="D332" s="175"/>
      <c r="J332" s="82" t="s">
        <v>343</v>
      </c>
    </row>
    <row r="333" spans="1:10" customFormat="1" ht="21" customHeight="1" x14ac:dyDescent="0.3">
      <c r="A333" s="15" t="s">
        <v>344</v>
      </c>
      <c r="B333" s="174"/>
      <c r="C333" s="175"/>
      <c r="D333" s="175"/>
      <c r="J333" s="82" t="s">
        <v>343</v>
      </c>
    </row>
    <row r="334" spans="1:10" customFormat="1" ht="21" customHeight="1" x14ac:dyDescent="0.3">
      <c r="A334" s="15" t="s">
        <v>345</v>
      </c>
      <c r="B334" s="174"/>
      <c r="C334" s="175"/>
      <c r="D334" s="175"/>
      <c r="J334" s="82" t="s">
        <v>343</v>
      </c>
    </row>
    <row r="335" spans="1:10" customFormat="1" ht="21" customHeight="1" x14ac:dyDescent="0.3">
      <c r="A335" s="127" t="s">
        <v>346</v>
      </c>
      <c r="B335" s="176"/>
      <c r="C335" s="176"/>
      <c r="D335" s="176"/>
    </row>
    <row r="336" spans="1:10" customFormat="1" ht="21" customHeight="1" x14ac:dyDescent="0.3">
      <c r="A336" s="346"/>
      <c r="B336" s="315"/>
      <c r="C336" s="315"/>
      <c r="D336" s="315"/>
      <c r="E336" s="315"/>
      <c r="F336" s="315"/>
      <c r="G336" s="315"/>
      <c r="H336" s="315"/>
    </row>
    <row r="337" spans="1:13" customFormat="1" ht="21" customHeight="1" x14ac:dyDescent="0.3">
      <c r="A337" s="347"/>
      <c r="B337" s="313"/>
      <c r="C337" s="313"/>
      <c r="D337" s="313"/>
      <c r="E337" s="313"/>
      <c r="F337" s="313"/>
      <c r="G337" s="313"/>
      <c r="H337" s="313"/>
    </row>
    <row r="338" spans="1:13" customFormat="1" ht="21" customHeight="1" x14ac:dyDescent="0.3">
      <c r="A338" s="107"/>
      <c r="B338" s="126"/>
      <c r="C338" s="126"/>
      <c r="D338" s="126"/>
    </row>
    <row r="339" spans="1:13" customFormat="1" ht="21" customHeight="1" x14ac:dyDescent="0.3">
      <c r="A339" s="107"/>
      <c r="B339" s="126"/>
      <c r="C339" s="126"/>
      <c r="D339" s="126"/>
    </row>
    <row r="340" spans="1:13" customFormat="1" ht="21" customHeight="1" x14ac:dyDescent="0.3">
      <c r="A340" s="107"/>
      <c r="B340" s="126"/>
      <c r="C340" s="126"/>
      <c r="D340" s="126"/>
    </row>
    <row r="341" spans="1:13" customFormat="1" ht="21" customHeight="1" x14ac:dyDescent="0.45">
      <c r="A341" s="284" t="s">
        <v>347</v>
      </c>
      <c r="B341" s="284"/>
      <c r="C341" s="284"/>
      <c r="D341" s="284"/>
      <c r="E341" s="284"/>
      <c r="F341" s="284"/>
      <c r="G341" s="284"/>
      <c r="H341" s="284"/>
    </row>
    <row r="342" spans="1:13" customFormat="1" ht="21" customHeight="1" x14ac:dyDescent="0.35">
      <c r="A342" s="99"/>
      <c r="B342" s="99"/>
      <c r="C342" s="99"/>
      <c r="D342" s="99"/>
      <c r="E342" s="99"/>
      <c r="F342" s="99"/>
      <c r="G342" s="99"/>
      <c r="H342" s="99"/>
      <c r="J342" s="82"/>
    </row>
    <row r="343" spans="1:13" customFormat="1" ht="21" customHeight="1" x14ac:dyDescent="0.4">
      <c r="A343" s="97" t="s">
        <v>348</v>
      </c>
      <c r="B343" s="107"/>
      <c r="C343" s="107"/>
      <c r="D343" s="107"/>
      <c r="E343" s="77"/>
      <c r="F343" s="77"/>
      <c r="G343" s="77"/>
      <c r="H343" s="77"/>
      <c r="I343" s="77"/>
      <c r="J343" s="82"/>
      <c r="K343" s="77"/>
      <c r="L343" s="77"/>
      <c r="M343" s="77"/>
    </row>
    <row r="344" spans="1:13" customFormat="1" ht="21" customHeight="1" x14ac:dyDescent="0.3">
      <c r="A344" s="88" t="s">
        <v>349</v>
      </c>
      <c r="B344" s="107"/>
      <c r="C344" s="107"/>
      <c r="D344" s="107"/>
      <c r="E344" s="77"/>
      <c r="F344" s="77"/>
      <c r="G344" s="77"/>
      <c r="H344" s="77"/>
      <c r="I344" s="77"/>
      <c r="J344" s="82"/>
      <c r="K344" s="77"/>
      <c r="L344" s="82"/>
      <c r="M344" s="77"/>
    </row>
    <row r="345" spans="1:13" customFormat="1" ht="21" customHeight="1" x14ac:dyDescent="0.3">
      <c r="A345" s="77"/>
      <c r="B345" s="126"/>
      <c r="C345" s="126"/>
      <c r="D345" s="126"/>
      <c r="E345" s="77"/>
      <c r="F345" s="77"/>
      <c r="G345" s="77"/>
      <c r="H345" s="77"/>
      <c r="I345" s="77"/>
      <c r="J345" s="82"/>
      <c r="K345" s="77"/>
      <c r="L345" s="82"/>
      <c r="M345" s="77"/>
    </row>
    <row r="346" spans="1:13" customFormat="1" ht="21" customHeight="1" x14ac:dyDescent="0.3">
      <c r="A346" s="77"/>
      <c r="B346" s="126"/>
      <c r="C346" s="126"/>
      <c r="D346" s="126"/>
      <c r="E346" s="77"/>
      <c r="F346" s="77"/>
      <c r="G346" s="77"/>
      <c r="H346" s="77"/>
      <c r="I346" s="77"/>
      <c r="J346" s="82"/>
      <c r="K346" s="77"/>
      <c r="L346" s="82"/>
      <c r="M346" s="77"/>
    </row>
    <row r="347" spans="1:13" customFormat="1" ht="21" customHeight="1" x14ac:dyDescent="0.3">
      <c r="A347" s="77"/>
      <c r="B347" s="77"/>
      <c r="C347" s="77"/>
      <c r="D347" s="77"/>
      <c r="E347" s="77"/>
      <c r="F347" s="77"/>
      <c r="G347" s="77"/>
      <c r="H347" s="77"/>
      <c r="I347" s="77"/>
      <c r="J347" s="82"/>
      <c r="K347" s="77"/>
      <c r="L347" s="82"/>
      <c r="M347" s="77"/>
    </row>
    <row r="348" spans="1:13" customFormat="1" ht="21" customHeight="1" x14ac:dyDescent="0.3">
      <c r="A348" s="318"/>
      <c r="B348" s="318"/>
      <c r="C348" s="77"/>
      <c r="D348" s="77"/>
      <c r="E348" s="77"/>
      <c r="F348" s="77"/>
      <c r="G348" s="77"/>
      <c r="H348" s="77"/>
      <c r="I348" s="77"/>
      <c r="J348" s="82" t="s">
        <v>350</v>
      </c>
      <c r="K348" s="77"/>
      <c r="L348" s="82"/>
      <c r="M348" s="77"/>
    </row>
    <row r="349" spans="1:13" customFormat="1" ht="21" customHeight="1" x14ac:dyDescent="0.3">
      <c r="A349" s="177" t="s">
        <v>351</v>
      </c>
      <c r="B349" s="77"/>
      <c r="C349" s="77"/>
      <c r="D349" s="77"/>
      <c r="E349" s="77"/>
      <c r="F349" s="77"/>
      <c r="G349" s="77"/>
      <c r="H349" s="77"/>
      <c r="I349" s="77"/>
      <c r="J349" s="82"/>
      <c r="K349" s="77"/>
      <c r="L349" s="82"/>
      <c r="M349" s="77"/>
    </row>
    <row r="350" spans="1:13" customFormat="1" ht="21" customHeight="1" x14ac:dyDescent="0.3">
      <c r="A350" s="340" t="s">
        <v>1231</v>
      </c>
      <c r="B350" s="340"/>
      <c r="C350" s="77"/>
      <c r="D350" s="77"/>
      <c r="E350" s="77"/>
      <c r="F350" s="77"/>
      <c r="G350" s="77"/>
      <c r="H350" s="77"/>
      <c r="I350" s="77"/>
      <c r="J350" s="82"/>
      <c r="K350" s="77"/>
      <c r="L350" s="82"/>
      <c r="M350" s="77"/>
    </row>
    <row r="351" spans="1:13" customFormat="1" ht="21" customHeight="1" x14ac:dyDescent="0.3">
      <c r="A351" s="177" t="s">
        <v>352</v>
      </c>
      <c r="B351" s="77"/>
      <c r="C351" s="77"/>
      <c r="D351" s="77" t="s">
        <v>353</v>
      </c>
      <c r="E351" s="77"/>
      <c r="F351" s="77"/>
      <c r="G351" s="77"/>
      <c r="H351" s="77"/>
      <c r="I351" s="77"/>
      <c r="J351" s="82"/>
      <c r="K351" s="77"/>
      <c r="L351" s="77"/>
      <c r="M351" s="77"/>
    </row>
    <row r="352" spans="1:13" customFormat="1" ht="21" customHeight="1" x14ac:dyDescent="0.3">
      <c r="A352" s="83" t="s">
        <v>354</v>
      </c>
      <c r="B352" s="77"/>
      <c r="C352" s="77"/>
      <c r="D352" s="178"/>
      <c r="E352" s="77"/>
      <c r="F352" s="77"/>
      <c r="G352" s="77"/>
      <c r="H352" s="77"/>
      <c r="I352" s="77"/>
      <c r="J352" s="82"/>
      <c r="K352" s="77"/>
      <c r="L352" s="77"/>
      <c r="M352" s="77"/>
    </row>
    <row r="353" spans="1:13" customFormat="1" ht="21" customHeight="1" x14ac:dyDescent="0.3">
      <c r="A353" s="83" t="s">
        <v>355</v>
      </c>
      <c r="B353" s="77"/>
      <c r="C353" s="77"/>
      <c r="D353" s="178"/>
      <c r="E353" s="77"/>
      <c r="F353" s="77"/>
      <c r="G353" s="77"/>
      <c r="H353" s="77"/>
      <c r="I353" s="77"/>
      <c r="J353" s="82"/>
      <c r="K353" s="77"/>
      <c r="L353" s="77"/>
      <c r="M353" s="77"/>
    </row>
    <row r="354" spans="1:13" customFormat="1" ht="21" customHeight="1" x14ac:dyDescent="0.3">
      <c r="A354" s="77"/>
      <c r="B354" s="77"/>
      <c r="C354" s="77"/>
      <c r="D354" s="176"/>
      <c r="E354" s="77"/>
      <c r="F354" s="77"/>
      <c r="G354" s="77"/>
      <c r="H354" s="77"/>
      <c r="I354" s="77"/>
      <c r="J354" s="82"/>
      <c r="K354" s="77"/>
      <c r="L354" s="77"/>
      <c r="M354" s="77"/>
    </row>
    <row r="355" spans="1:13" customFormat="1" ht="21" customHeight="1" x14ac:dyDescent="0.3">
      <c r="A355" s="77"/>
      <c r="B355" s="77"/>
      <c r="C355" s="77"/>
      <c r="D355" s="176"/>
      <c r="E355" s="77"/>
      <c r="F355" s="77"/>
      <c r="G355" s="77"/>
      <c r="H355" s="77"/>
      <c r="I355" s="77"/>
      <c r="J355" s="82"/>
      <c r="K355" s="77"/>
      <c r="L355" s="77"/>
      <c r="M355" s="77"/>
    </row>
    <row r="356" spans="1:13" customFormat="1" ht="21" customHeight="1" x14ac:dyDescent="0.3">
      <c r="A356" s="318"/>
      <c r="B356" s="318"/>
      <c r="C356" s="77"/>
      <c r="D356" s="77"/>
      <c r="E356" s="77"/>
      <c r="F356" s="77"/>
      <c r="G356" s="77"/>
      <c r="H356" s="77"/>
      <c r="I356" s="77"/>
      <c r="J356" s="82" t="s">
        <v>356</v>
      </c>
      <c r="K356" s="77"/>
      <c r="L356" s="77"/>
      <c r="M356" s="77"/>
    </row>
    <row r="357" spans="1:13" customFormat="1" ht="21" customHeight="1" x14ac:dyDescent="0.3">
      <c r="A357" s="177" t="s">
        <v>357</v>
      </c>
      <c r="B357" s="77"/>
      <c r="C357" s="77"/>
      <c r="D357" s="77"/>
      <c r="E357" s="77"/>
      <c r="F357" s="77"/>
      <c r="G357" s="77"/>
      <c r="H357" s="77"/>
      <c r="I357" s="77"/>
      <c r="J357" s="82"/>
      <c r="K357" s="77"/>
      <c r="L357" s="77"/>
      <c r="M357" s="77"/>
    </row>
    <row r="358" spans="1:13" customFormat="1" ht="21" customHeight="1" x14ac:dyDescent="0.3">
      <c r="A358" s="340"/>
      <c r="B358" s="340"/>
      <c r="C358" s="77"/>
      <c r="D358" s="77"/>
      <c r="E358" s="77"/>
      <c r="F358" s="77"/>
      <c r="G358" s="77"/>
      <c r="H358" s="77"/>
      <c r="I358" s="77"/>
      <c r="J358" s="82"/>
      <c r="K358" s="77"/>
      <c r="L358" s="77"/>
      <c r="M358" s="77"/>
    </row>
    <row r="359" spans="1:13" customFormat="1" ht="21" customHeight="1" x14ac:dyDescent="0.3">
      <c r="A359" s="177" t="s">
        <v>352</v>
      </c>
      <c r="B359" s="77"/>
      <c r="C359" s="77"/>
      <c r="D359" s="77"/>
      <c r="E359" s="77"/>
      <c r="F359" s="77"/>
      <c r="G359" s="77"/>
      <c r="H359" s="77"/>
      <c r="I359" s="77"/>
      <c r="J359" s="82"/>
      <c r="K359" s="77"/>
      <c r="L359" s="77"/>
      <c r="M359" s="77"/>
    </row>
    <row r="360" spans="1:13" customFormat="1" ht="21" customHeight="1" x14ac:dyDescent="0.3">
      <c r="A360" s="274"/>
      <c r="B360" s="274"/>
      <c r="C360" s="274"/>
      <c r="D360" s="274"/>
      <c r="E360" s="274"/>
      <c r="F360" s="77"/>
      <c r="G360" s="77"/>
      <c r="H360" s="77"/>
      <c r="I360" s="77"/>
      <c r="J360" s="82" t="s">
        <v>358</v>
      </c>
      <c r="K360" s="77"/>
      <c r="L360" s="77"/>
      <c r="M360" s="77"/>
    </row>
    <row r="361" spans="1:13" customFormat="1" ht="21" customHeight="1" x14ac:dyDescent="0.3">
      <c r="A361" s="274"/>
      <c r="B361" s="274"/>
      <c r="C361" s="274"/>
      <c r="D361" s="274"/>
      <c r="E361" s="274"/>
      <c r="F361" s="77"/>
      <c r="G361" s="77"/>
      <c r="H361" s="77"/>
      <c r="I361" s="77"/>
      <c r="J361" s="82"/>
      <c r="K361" s="77"/>
      <c r="L361" s="77"/>
      <c r="M361" s="77"/>
    </row>
    <row r="362" spans="1:13" customFormat="1" ht="21" customHeight="1" x14ac:dyDescent="0.3">
      <c r="A362" s="274"/>
      <c r="B362" s="274"/>
      <c r="C362" s="274"/>
      <c r="D362" s="274"/>
      <c r="E362" s="274"/>
      <c r="F362" s="77"/>
      <c r="G362" s="77"/>
      <c r="H362" s="77"/>
      <c r="I362" s="77"/>
      <c r="J362" s="82"/>
      <c r="K362" s="77"/>
      <c r="L362" s="77"/>
      <c r="M362" s="77"/>
    </row>
    <row r="363" spans="1:13" customFormat="1" ht="21" customHeight="1" x14ac:dyDescent="0.3">
      <c r="A363" s="177" t="s">
        <v>359</v>
      </c>
      <c r="B363" s="77"/>
      <c r="C363" s="77"/>
      <c r="D363" s="77"/>
      <c r="E363" s="77"/>
      <c r="F363" s="77"/>
      <c r="G363" s="77"/>
      <c r="H363" s="77"/>
      <c r="I363" s="77"/>
      <c r="J363" s="82"/>
      <c r="K363" s="77"/>
      <c r="L363" s="77"/>
      <c r="M363" s="77"/>
    </row>
    <row r="364" spans="1:13" customFormat="1" ht="21" customHeight="1" x14ac:dyDescent="0.3">
      <c r="J364" s="82"/>
    </row>
    <row r="365" spans="1:13" customFormat="1" ht="21" customHeight="1" x14ac:dyDescent="0.4">
      <c r="A365" s="97" t="s">
        <v>360</v>
      </c>
      <c r="J365" s="82"/>
    </row>
    <row r="366" spans="1:13" customFormat="1" ht="21" customHeight="1" x14ac:dyDescent="0.3">
      <c r="A366" s="274"/>
      <c r="B366" s="274"/>
      <c r="C366" s="274"/>
      <c r="D366" s="274"/>
      <c r="E366" s="274"/>
      <c r="J366" s="82" t="s">
        <v>361</v>
      </c>
    </row>
    <row r="367" spans="1:13" customFormat="1" ht="21" customHeight="1" x14ac:dyDescent="0.3">
      <c r="A367" s="274"/>
      <c r="B367" s="274"/>
      <c r="C367" s="274"/>
      <c r="D367" s="274"/>
      <c r="E367" s="274"/>
      <c r="J367" s="82"/>
    </row>
    <row r="368" spans="1:13" customFormat="1" ht="21" customHeight="1" x14ac:dyDescent="0.3">
      <c r="A368" s="274"/>
      <c r="B368" s="274"/>
      <c r="C368" s="274"/>
      <c r="D368" s="274"/>
      <c r="E368" s="274"/>
      <c r="J368" s="82"/>
    </row>
    <row r="369" spans="10:10" customFormat="1" ht="21" customHeight="1" x14ac:dyDescent="0.3">
      <c r="J369" s="82"/>
    </row>
    <row r="370" spans="10:10" customFormat="1" ht="21" customHeight="1" x14ac:dyDescent="0.3">
      <c r="J370" s="82"/>
    </row>
    <row r="371" spans="10:10" customFormat="1" ht="21" customHeight="1" x14ac:dyDescent="0.3">
      <c r="J371" s="82"/>
    </row>
    <row r="372" spans="10:10" customFormat="1" ht="21" customHeight="1" x14ac:dyDescent="0.3">
      <c r="J372" s="82"/>
    </row>
    <row r="373" spans="10:10" customFormat="1" ht="21" customHeight="1" x14ac:dyDescent="0.3">
      <c r="J373" s="82"/>
    </row>
    <row r="374" spans="10:10" customFormat="1" ht="21" customHeight="1" x14ac:dyDescent="0.3">
      <c r="J374" s="82"/>
    </row>
    <row r="375" spans="10:10" customFormat="1" ht="21" customHeight="1" x14ac:dyDescent="0.3">
      <c r="J375" s="82"/>
    </row>
    <row r="376" spans="10:10" customFormat="1" ht="21" customHeight="1" x14ac:dyDescent="0.3">
      <c r="J376" s="82"/>
    </row>
    <row r="377" spans="10:10" customFormat="1" ht="21" customHeight="1" x14ac:dyDescent="0.3">
      <c r="J377" s="82"/>
    </row>
    <row r="378" spans="10:10" customFormat="1" ht="21" customHeight="1" x14ac:dyDescent="0.3">
      <c r="J378" s="82"/>
    </row>
    <row r="379" spans="10:10" customFormat="1" ht="21" customHeight="1" x14ac:dyDescent="0.3">
      <c r="J379" s="82"/>
    </row>
    <row r="380" spans="10:10" customFormat="1" ht="21" customHeight="1" x14ac:dyDescent="0.3">
      <c r="J380" s="82"/>
    </row>
    <row r="381" spans="10:10" customFormat="1" ht="21" customHeight="1" x14ac:dyDescent="0.3">
      <c r="J381" s="82"/>
    </row>
    <row r="382" spans="10:10" customFormat="1" ht="21" customHeight="1" x14ac:dyDescent="0.3">
      <c r="J382" s="82"/>
    </row>
    <row r="383" spans="10:10" customFormat="1" ht="21" customHeight="1" x14ac:dyDescent="0.3">
      <c r="J383" s="82"/>
    </row>
    <row r="384" spans="10:10" customFormat="1" ht="21" customHeight="1" x14ac:dyDescent="0.3">
      <c r="J384" s="82"/>
    </row>
    <row r="385" spans="10:10" customFormat="1" ht="21" customHeight="1" x14ac:dyDescent="0.3">
      <c r="J385" s="82"/>
    </row>
    <row r="386" spans="10:10" customFormat="1" ht="21" customHeight="1" x14ac:dyDescent="0.3">
      <c r="J386" s="82"/>
    </row>
    <row r="387" spans="10:10" customFormat="1" ht="21" customHeight="1" x14ac:dyDescent="0.3">
      <c r="J387" s="82"/>
    </row>
    <row r="388" spans="10:10" customFormat="1" ht="21" customHeight="1" x14ac:dyDescent="0.3">
      <c r="J388" s="82"/>
    </row>
    <row r="389" spans="10:10" customFormat="1" ht="21" customHeight="1" x14ac:dyDescent="0.3">
      <c r="J389" s="82"/>
    </row>
    <row r="390" spans="10:10" customFormat="1" ht="21" customHeight="1" x14ac:dyDescent="0.3">
      <c r="J390" s="82"/>
    </row>
    <row r="391" spans="10:10" customFormat="1" ht="21" customHeight="1" x14ac:dyDescent="0.3">
      <c r="J391" s="82"/>
    </row>
  </sheetData>
  <sheetProtection algorithmName="SHA-512" hashValue="bESPxBVpeyznbTs67kX7w3OD+RBrBfbvcnTxTJTXQ5mtYYA72IW7/Dl48pg21b4jQJLzEzT7oTRTWpMnpgRyTw==" saltValue="zylTeCcUFY0CRsJM/APlHg==" spinCount="100000" sheet="1" objects="1" scenarios="1"/>
  <dataConsolidate/>
  <mergeCells count="106">
    <mergeCell ref="J1:K1"/>
    <mergeCell ref="A35:B35"/>
    <mergeCell ref="A362:E362"/>
    <mergeCell ref="A361:E361"/>
    <mergeCell ref="A360:E360"/>
    <mergeCell ref="A348:B348"/>
    <mergeCell ref="A350:B350"/>
    <mergeCell ref="A356:B356"/>
    <mergeCell ref="A358:B358"/>
    <mergeCell ref="A85:H85"/>
    <mergeCell ref="A23:B23"/>
    <mergeCell ref="D23:E23"/>
    <mergeCell ref="A25:B25"/>
    <mergeCell ref="A27:B27"/>
    <mergeCell ref="C33:D33"/>
    <mergeCell ref="C1:E1"/>
    <mergeCell ref="A21:B21"/>
    <mergeCell ref="D21:E21"/>
    <mergeCell ref="A336:H336"/>
    <mergeCell ref="A337:H337"/>
    <mergeCell ref="A323:H323"/>
    <mergeCell ref="A324:H324"/>
    <mergeCell ref="A250:H250"/>
    <mergeCell ref="F312:G312"/>
    <mergeCell ref="B239:H239"/>
    <mergeCell ref="A242:H242"/>
    <mergeCell ref="F297:H297"/>
    <mergeCell ref="F305:H305"/>
    <mergeCell ref="F299:H299"/>
    <mergeCell ref="A303:B303"/>
    <mergeCell ref="F303:H303"/>
    <mergeCell ref="A299:B299"/>
    <mergeCell ref="F300:H300"/>
    <mergeCell ref="F301:H301"/>
    <mergeCell ref="A305:B305"/>
    <mergeCell ref="A304:B304"/>
    <mergeCell ref="F304:H304"/>
    <mergeCell ref="F302:H302"/>
    <mergeCell ref="A298:B298"/>
    <mergeCell ref="F298:H298"/>
    <mergeCell ref="A243:H243"/>
    <mergeCell ref="A244:H244"/>
    <mergeCell ref="A291:H291"/>
    <mergeCell ref="C10:E10"/>
    <mergeCell ref="A137:H137"/>
    <mergeCell ref="C14:E14"/>
    <mergeCell ref="A110:H110"/>
    <mergeCell ref="A120:H120"/>
    <mergeCell ref="A121:H121"/>
    <mergeCell ref="A58:H58"/>
    <mergeCell ref="A91:H91"/>
    <mergeCell ref="A60:H60"/>
    <mergeCell ref="B64:H64"/>
    <mergeCell ref="C11:E11"/>
    <mergeCell ref="C15:E15"/>
    <mergeCell ref="C17:E17"/>
    <mergeCell ref="A109:H109"/>
    <mergeCell ref="A135:H135"/>
    <mergeCell ref="A136:H136"/>
    <mergeCell ref="D13:E13"/>
    <mergeCell ref="B228:D228"/>
    <mergeCell ref="B237:C237"/>
    <mergeCell ref="C16:E16"/>
    <mergeCell ref="A42:G42"/>
    <mergeCell ref="A44:G44"/>
    <mergeCell ref="A48:G48"/>
    <mergeCell ref="A50:G50"/>
    <mergeCell ref="A46:G46"/>
    <mergeCell ref="F209:H209"/>
    <mergeCell ref="A183:H183"/>
    <mergeCell ref="B226:D226"/>
    <mergeCell ref="A147:H147"/>
    <mergeCell ref="A148:H148"/>
    <mergeCell ref="A182:H182"/>
    <mergeCell ref="B210:H210"/>
    <mergeCell ref="A225:B225"/>
    <mergeCell ref="A165:H165"/>
    <mergeCell ref="A173:H173"/>
    <mergeCell ref="A172:H172"/>
    <mergeCell ref="A156:H156"/>
    <mergeCell ref="A157:H157"/>
    <mergeCell ref="A164:H164"/>
    <mergeCell ref="A366:E366"/>
    <mergeCell ref="A367:E367"/>
    <mergeCell ref="A368:E368"/>
    <mergeCell ref="F313:H315"/>
    <mergeCell ref="A341:H341"/>
    <mergeCell ref="A212:H212"/>
    <mergeCell ref="A300:B300"/>
    <mergeCell ref="A301:B301"/>
    <mergeCell ref="A294:B294"/>
    <mergeCell ref="A296:B296"/>
    <mergeCell ref="A297:B297"/>
    <mergeCell ref="A302:B302"/>
    <mergeCell ref="A308:H308"/>
    <mergeCell ref="F293:H293"/>
    <mergeCell ref="A214:H214"/>
    <mergeCell ref="A261:H261"/>
    <mergeCell ref="A241:H241"/>
    <mergeCell ref="B229:D229"/>
    <mergeCell ref="A293:B293"/>
    <mergeCell ref="B227:D227"/>
    <mergeCell ref="F294:H294"/>
    <mergeCell ref="F296:H296"/>
    <mergeCell ref="A295:B295"/>
    <mergeCell ref="F295:H295"/>
  </mergeCells>
  <conditionalFormatting sqref="B129:F131">
    <cfRule type="cellIs" dxfId="21" priority="1" operator="equal">
      <formula>$B$132</formula>
    </cfRule>
    <cfRule type="cellIs" dxfId="20" priority="1" operator="equal">
      <formula>$B$132</formula>
    </cfRule>
    <cfRule type="containsErrors" dxfId="19" priority="1">
      <formula>ISERROR(B129)</formula>
    </cfRule>
  </conditionalFormatting>
  <conditionalFormatting sqref="C132:F132">
    <cfRule type="cellIs" dxfId="18" priority="2" operator="equal">
      <formula>$B$132</formula>
    </cfRule>
    <cfRule type="cellIs" dxfId="17" priority="2" operator="equal">
      <formula>$B$132</formula>
    </cfRule>
    <cfRule type="containsErrors" dxfId="16" priority="2">
      <formula>ISERROR(C132)</formula>
    </cfRule>
  </conditionalFormatting>
  <conditionalFormatting sqref="G274">
    <cfRule type="containsErrors" dxfId="15" priority="3">
      <formula>ISERROR(G274)</formula>
    </cfRule>
    <cfRule type="containsErrors" priority="3">
      <formula>ISERROR(G274)</formula>
    </cfRule>
  </conditionalFormatting>
  <conditionalFormatting sqref="G275:G278">
    <cfRule type="containsErrors" dxfId="14" priority="4">
      <formula>ISERROR(G275)</formula>
    </cfRule>
    <cfRule type="containsErrors" priority="4">
      <formula>ISERROR(G275)</formula>
    </cfRule>
  </conditionalFormatting>
  <conditionalFormatting sqref="G279">
    <cfRule type="containsErrors" dxfId="13" priority="5">
      <formula>ISERROR(G279)</formula>
    </cfRule>
    <cfRule type="containsErrors" priority="5">
      <formula>ISERROR(G279)</formula>
    </cfRule>
  </conditionalFormatting>
  <conditionalFormatting sqref="G282">
    <cfRule type="containsErrors" dxfId="12" priority="6">
      <formula>ISERROR(G282)</formula>
    </cfRule>
    <cfRule type="containsErrors" priority="6">
      <formula>ISERROR(G282)</formula>
    </cfRule>
  </conditionalFormatting>
  <conditionalFormatting sqref="G284">
    <cfRule type="containsErrors" dxfId="11" priority="7">
      <formula>ISERROR(G284)</formula>
    </cfRule>
    <cfRule type="containsErrors" priority="7">
      <formula>ISERROR(G284)</formula>
    </cfRule>
  </conditionalFormatting>
  <conditionalFormatting sqref="B132">
    <cfRule type="containsErrors" dxfId="10" priority="8">
      <formula>ISERROR(B132)</formula>
    </cfRule>
  </conditionalFormatting>
  <conditionalFormatting sqref="B102:D102">
    <cfRule type="containsErrors" dxfId="9" priority="9">
      <formula>ISERROR(B102)</formula>
    </cfRule>
  </conditionalFormatting>
  <conditionalFormatting sqref="G129:G132">
    <cfRule type="cellIs" dxfId="8" priority="10" operator="equal">
      <formula>$B$132</formula>
    </cfRule>
    <cfRule type="cellIs" dxfId="7" priority="10" operator="equal">
      <formula>$B$132</formula>
    </cfRule>
    <cfRule type="containsErrors" dxfId="6" priority="10">
      <formula>ISERROR(G129)</formula>
    </cfRule>
  </conditionalFormatting>
  <conditionalFormatting sqref="B133:F133">
    <cfRule type="cellIs" dxfId="5" priority="11" operator="equal">
      <formula>$B$132</formula>
    </cfRule>
    <cfRule type="cellIs" dxfId="4" priority="11" operator="equal">
      <formula>$B$132</formula>
    </cfRule>
    <cfRule type="containsErrors" dxfId="3" priority="11">
      <formula>ISERROR(B133)</formula>
    </cfRule>
  </conditionalFormatting>
  <conditionalFormatting sqref="G133">
    <cfRule type="cellIs" dxfId="2" priority="12" operator="equal">
      <formula>$B$132</formula>
    </cfRule>
    <cfRule type="cellIs" dxfId="1" priority="12" operator="equal">
      <formula>$B$132</formula>
    </cfRule>
    <cfRule type="containsErrors" dxfId="0" priority="12">
      <formula>ISERROR(G133)</formula>
    </cfRule>
  </conditionalFormatting>
  <dataValidations xWindow="408" yWindow="530" count="2">
    <dataValidation type="list" allowBlank="1" showInputMessage="1" showErrorMessage="1" promptTitle="Välj styrparameter" prompt="Välj det alternativ som gäller Ert ÄFO" sqref="B226:D226" xr:uid="{00000000-0002-0000-0200-000000000000}">
      <formula1>Inventeringsobjekt</formula1>
    </dataValidation>
    <dataValidation type="list" allowBlank="1" showInputMessage="1" showErrorMessage="1" sqref="B227:B228" xr:uid="{00000000-0002-0000-0200-000001000000}">
      <formula1>Skogstillstånd</formula1>
    </dataValidation>
  </dataValidations>
  <hyperlinks>
    <hyperlink ref="J96" r:id="rId1" xr:uid="{00000000-0004-0000-0200-000000000000}"/>
    <hyperlink ref="J113" r:id="rId2" xr:uid="{00000000-0004-0000-0200-000001000000}"/>
    <hyperlink ref="J124" r:id="rId3" xr:uid="{00000000-0004-0000-0200-000002000000}"/>
    <hyperlink ref="J140" r:id="rId4" xr:uid="{00000000-0004-0000-0200-000003000000}"/>
    <hyperlink ref="J175" r:id="rId5" xr:uid="{00000000-0004-0000-0200-000004000000}"/>
    <hyperlink ref="J218" r:id="rId6" xr:uid="{00000000-0004-0000-0200-000005000000}"/>
    <hyperlink ref="J225" r:id="rId7" xr:uid="{00000000-0004-0000-0200-000006000000}"/>
  </hyperlinks>
  <pageMargins left="0.47244094488188981" right="0.43307086614173229" top="0.70866141732283472" bottom="0.70866141732283472" header="0.27559055118110237" footer="0.27559055118110237"/>
  <pageSetup paperSize="9" scale="69" orientation="portrait" r:id="rId8"/>
  <headerFooter>
    <oddHeader>&amp;L&amp;22ÄLGSKÖTSELSPLAN&amp;R&amp;F</oddHeader>
    <oddFooter>&amp;L&amp;KFF0000&amp;F</oddFooter>
  </headerFooter>
  <rowBreaks count="18" manualBreakCount="18">
    <brk id="39" max="7" man="1"/>
    <brk id="57" max="16383" man="1"/>
    <brk id="90" max="16383" man="1"/>
    <brk id="136" max="7" man="1"/>
    <brk id="184" max="7" man="1"/>
    <brk id="211" max="7" man="1"/>
    <brk id="260" max="16383" man="1"/>
    <brk id="307" max="7" man="1"/>
    <brk id="340" max="7" man="1"/>
    <brk id="39" max="1048576" man="1"/>
    <brk id="57" max="1048576" man="1"/>
    <brk id="90" max="1048576" man="1"/>
    <brk id="136" max="1048576" man="1"/>
    <brk id="184" max="1048576" man="1"/>
    <brk id="211" max="1048576" man="1"/>
    <brk id="260" max="1048576" man="1"/>
    <brk id="307" max="1048576" man="1"/>
    <brk id="340" max="1048576" man="1"/>
    <brk id="39" max="1048576" man="1"/>
    <brk id="57" max="1048576" man="1"/>
    <brk id="90" max="1048576" man="1"/>
    <brk id="136" max="1048576" man="1"/>
    <brk id="184" max="1048576" man="1"/>
    <brk id="211" max="1048576" man="1"/>
    <brk id="260" max="1048576" man="1"/>
    <brk id="307" max="1048576" man="1"/>
    <brk id="340" max="1048576" man="1"/>
    <brk id="39" max="1048576" man="1"/>
    <brk id="57" max="1048576" man="1"/>
    <brk id="90" max="1048576" man="1"/>
    <brk id="136" max="1048576" man="1"/>
    <brk id="184" max="1048576" man="1"/>
    <brk id="211" max="1048576" man="1"/>
    <brk id="260" max="1048576" man="1"/>
    <brk id="307" max="1048576" man="1"/>
    <brk id="340" max="1048576" man="1"/>
  </rowBreaks>
  <drawing r:id="rId9"/>
  <legacyDrawing r:id="rId10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11" name="Check Box 5">
              <controlPr locked="0" defaultSize="0" autoFill="0" autoLine="0" autoPict="0" altText="Beslutad av _x000a_Länsstyrelsen">
                <anchor moveWithCells="1">
                  <from>
                    <xdr:col>5</xdr:col>
                    <xdr:colOff>22860</xdr:colOff>
                    <xdr:row>312</xdr:row>
                    <xdr:rowOff>0</xdr:rowOff>
                  </from>
                  <to>
                    <xdr:col>7</xdr:col>
                    <xdr:colOff>60960</xdr:colOff>
                    <xdr:row>313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1</xdr:col>
                    <xdr:colOff>22860</xdr:colOff>
                    <xdr:row>206</xdr:row>
                    <xdr:rowOff>7620</xdr:rowOff>
                  </from>
                  <to>
                    <xdr:col>2</xdr:col>
                    <xdr:colOff>0</xdr:colOff>
                    <xdr:row>206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1</xdr:col>
                    <xdr:colOff>22860</xdr:colOff>
                    <xdr:row>207</xdr:row>
                    <xdr:rowOff>7620</xdr:rowOff>
                  </from>
                  <to>
                    <xdr:col>2</xdr:col>
                    <xdr:colOff>0</xdr:colOff>
                    <xdr:row>207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1</xdr:col>
                    <xdr:colOff>22860</xdr:colOff>
                    <xdr:row>208</xdr:row>
                    <xdr:rowOff>7620</xdr:rowOff>
                  </from>
                  <to>
                    <xdr:col>2</xdr:col>
                    <xdr:colOff>0</xdr:colOff>
                    <xdr:row>208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1</xdr:col>
                    <xdr:colOff>30480</xdr:colOff>
                    <xdr:row>200</xdr:row>
                    <xdr:rowOff>7620</xdr:rowOff>
                  </from>
                  <to>
                    <xdr:col>2</xdr:col>
                    <xdr:colOff>7620</xdr:colOff>
                    <xdr:row>200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6" name="Check Box 34">
              <controlPr defaultSize="0" autoFill="0" autoLine="0" autoPict="0">
                <anchor moveWithCells="1">
                  <from>
                    <xdr:col>2</xdr:col>
                    <xdr:colOff>30480</xdr:colOff>
                    <xdr:row>200</xdr:row>
                    <xdr:rowOff>7620</xdr:rowOff>
                  </from>
                  <to>
                    <xdr:col>2</xdr:col>
                    <xdr:colOff>922020</xdr:colOff>
                    <xdr:row>200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7" name="Check Box 35">
              <controlPr defaultSize="0" autoFill="0" autoLine="0" autoPict="0">
                <anchor moveWithCells="1">
                  <from>
                    <xdr:col>3</xdr:col>
                    <xdr:colOff>30480</xdr:colOff>
                    <xdr:row>200</xdr:row>
                    <xdr:rowOff>7620</xdr:rowOff>
                  </from>
                  <to>
                    <xdr:col>4</xdr:col>
                    <xdr:colOff>7620</xdr:colOff>
                    <xdr:row>200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8" name="Check Box 36">
              <controlPr defaultSize="0" autoFill="0" autoLine="0" autoPict="0">
                <anchor moveWithCells="1">
                  <from>
                    <xdr:col>1</xdr:col>
                    <xdr:colOff>30480</xdr:colOff>
                    <xdr:row>201</xdr:row>
                    <xdr:rowOff>7620</xdr:rowOff>
                  </from>
                  <to>
                    <xdr:col>2</xdr:col>
                    <xdr:colOff>7620</xdr:colOff>
                    <xdr:row>201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9" name="Check Box 37">
              <controlPr defaultSize="0" autoFill="0" autoLine="0" autoPict="0">
                <anchor moveWithCells="1">
                  <from>
                    <xdr:col>2</xdr:col>
                    <xdr:colOff>30480</xdr:colOff>
                    <xdr:row>201</xdr:row>
                    <xdr:rowOff>7620</xdr:rowOff>
                  </from>
                  <to>
                    <xdr:col>2</xdr:col>
                    <xdr:colOff>922020</xdr:colOff>
                    <xdr:row>201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0" name="Check Box 38">
              <controlPr defaultSize="0" autoFill="0" autoLine="0" autoPict="0">
                <anchor moveWithCells="1">
                  <from>
                    <xdr:col>3</xdr:col>
                    <xdr:colOff>30480</xdr:colOff>
                    <xdr:row>201</xdr:row>
                    <xdr:rowOff>7620</xdr:rowOff>
                  </from>
                  <to>
                    <xdr:col>4</xdr:col>
                    <xdr:colOff>7620</xdr:colOff>
                    <xdr:row>201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1" name="Check Box 39">
              <controlPr defaultSize="0" autoFill="0" autoLine="0" autoPict="0">
                <anchor moveWithCells="1">
                  <from>
                    <xdr:col>1</xdr:col>
                    <xdr:colOff>30480</xdr:colOff>
                    <xdr:row>202</xdr:row>
                    <xdr:rowOff>7620</xdr:rowOff>
                  </from>
                  <to>
                    <xdr:col>2</xdr:col>
                    <xdr:colOff>7620</xdr:colOff>
                    <xdr:row>202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2" name="Check Box 40">
              <controlPr defaultSize="0" autoFill="0" autoLine="0" autoPict="0">
                <anchor moveWithCells="1">
                  <from>
                    <xdr:col>2</xdr:col>
                    <xdr:colOff>30480</xdr:colOff>
                    <xdr:row>202</xdr:row>
                    <xdr:rowOff>7620</xdr:rowOff>
                  </from>
                  <to>
                    <xdr:col>2</xdr:col>
                    <xdr:colOff>922020</xdr:colOff>
                    <xdr:row>202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3" name="Check Box 41">
              <controlPr defaultSize="0" autoFill="0" autoLine="0" autoPict="0">
                <anchor moveWithCells="1">
                  <from>
                    <xdr:col>3</xdr:col>
                    <xdr:colOff>30480</xdr:colOff>
                    <xdr:row>202</xdr:row>
                    <xdr:rowOff>7620</xdr:rowOff>
                  </from>
                  <to>
                    <xdr:col>4</xdr:col>
                    <xdr:colOff>7620</xdr:colOff>
                    <xdr:row>202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4" name="Check Box 42">
              <controlPr defaultSize="0" autoFill="0" autoLine="0" autoPict="0">
                <anchor moveWithCells="1">
                  <from>
                    <xdr:col>1</xdr:col>
                    <xdr:colOff>30480</xdr:colOff>
                    <xdr:row>203</xdr:row>
                    <xdr:rowOff>7620</xdr:rowOff>
                  </from>
                  <to>
                    <xdr:col>2</xdr:col>
                    <xdr:colOff>7620</xdr:colOff>
                    <xdr:row>203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5" name="Check Box 43">
              <controlPr defaultSize="0" autoFill="0" autoLine="0" autoPict="0">
                <anchor moveWithCells="1">
                  <from>
                    <xdr:col>2</xdr:col>
                    <xdr:colOff>30480</xdr:colOff>
                    <xdr:row>203</xdr:row>
                    <xdr:rowOff>7620</xdr:rowOff>
                  </from>
                  <to>
                    <xdr:col>2</xdr:col>
                    <xdr:colOff>922020</xdr:colOff>
                    <xdr:row>203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6" name="Check Box 44">
              <controlPr defaultSize="0" autoFill="0" autoLine="0" autoPict="0">
                <anchor moveWithCells="1">
                  <from>
                    <xdr:col>3</xdr:col>
                    <xdr:colOff>30480</xdr:colOff>
                    <xdr:row>203</xdr:row>
                    <xdr:rowOff>7620</xdr:rowOff>
                  </from>
                  <to>
                    <xdr:col>4</xdr:col>
                    <xdr:colOff>7620</xdr:colOff>
                    <xdr:row>203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7" name="Check Box 45">
              <controlPr defaultSize="0" autoFill="0" autoLine="0" autoPict="0">
                <anchor moveWithCells="1">
                  <from>
                    <xdr:col>1</xdr:col>
                    <xdr:colOff>30480</xdr:colOff>
                    <xdr:row>186</xdr:row>
                    <xdr:rowOff>7620</xdr:rowOff>
                  </from>
                  <to>
                    <xdr:col>2</xdr:col>
                    <xdr:colOff>7620</xdr:colOff>
                    <xdr:row>186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8" name="Check Box 46">
              <controlPr defaultSize="0" autoFill="0" autoLine="0" autoPict="0">
                <anchor moveWithCells="1">
                  <from>
                    <xdr:col>2</xdr:col>
                    <xdr:colOff>30480</xdr:colOff>
                    <xdr:row>186</xdr:row>
                    <xdr:rowOff>7620</xdr:rowOff>
                  </from>
                  <to>
                    <xdr:col>2</xdr:col>
                    <xdr:colOff>922020</xdr:colOff>
                    <xdr:row>186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9" name="Check Box 48">
              <controlPr defaultSize="0" autoFill="0" autoLine="0" autoPict="0">
                <anchor moveWithCells="1">
                  <from>
                    <xdr:col>3</xdr:col>
                    <xdr:colOff>30480</xdr:colOff>
                    <xdr:row>186</xdr:row>
                    <xdr:rowOff>7620</xdr:rowOff>
                  </from>
                  <to>
                    <xdr:col>4</xdr:col>
                    <xdr:colOff>7620</xdr:colOff>
                    <xdr:row>186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0" name="Check Box 50">
              <controlPr defaultSize="0" autoFill="0" autoLine="0" autoPict="0">
                <anchor moveWithCells="1">
                  <from>
                    <xdr:col>1</xdr:col>
                    <xdr:colOff>22860</xdr:colOff>
                    <xdr:row>222</xdr:row>
                    <xdr:rowOff>7620</xdr:rowOff>
                  </from>
                  <to>
                    <xdr:col>2</xdr:col>
                    <xdr:colOff>0</xdr:colOff>
                    <xdr:row>222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1" name="Check Box 51">
              <controlPr defaultSize="0" autoFill="0" autoLine="0" autoPict="0">
                <anchor moveWithCells="1">
                  <from>
                    <xdr:col>2</xdr:col>
                    <xdr:colOff>22860</xdr:colOff>
                    <xdr:row>222</xdr:row>
                    <xdr:rowOff>7620</xdr:rowOff>
                  </from>
                  <to>
                    <xdr:col>2</xdr:col>
                    <xdr:colOff>914400</xdr:colOff>
                    <xdr:row>222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2" name="Check Box 53">
              <controlPr defaultSize="0" autoFill="0" autoLine="0" autoPict="0">
                <anchor moveWithCells="1">
                  <from>
                    <xdr:col>3</xdr:col>
                    <xdr:colOff>22860</xdr:colOff>
                    <xdr:row>222</xdr:row>
                    <xdr:rowOff>7620</xdr:rowOff>
                  </from>
                  <to>
                    <xdr:col>4</xdr:col>
                    <xdr:colOff>0</xdr:colOff>
                    <xdr:row>222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3" name="Check Box 57">
              <controlPr defaultSize="0" autoFill="0" autoLine="0" autoPict="0">
                <anchor moveWithCells="1">
                  <from>
                    <xdr:col>1</xdr:col>
                    <xdr:colOff>22860</xdr:colOff>
                    <xdr:row>234</xdr:row>
                    <xdr:rowOff>7620</xdr:rowOff>
                  </from>
                  <to>
                    <xdr:col>2</xdr:col>
                    <xdr:colOff>0</xdr:colOff>
                    <xdr:row>234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4" name="Check Box 58">
              <controlPr defaultSize="0" autoFill="0" autoLine="0" autoPict="0">
                <anchor moveWithCells="1">
                  <from>
                    <xdr:col>2</xdr:col>
                    <xdr:colOff>22860</xdr:colOff>
                    <xdr:row>234</xdr:row>
                    <xdr:rowOff>7620</xdr:rowOff>
                  </from>
                  <to>
                    <xdr:col>2</xdr:col>
                    <xdr:colOff>914400</xdr:colOff>
                    <xdr:row>234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5" name="Check Box 59">
              <controlPr defaultSize="0" autoFill="0" autoLine="0" autoPict="0">
                <anchor moveWithCells="1">
                  <from>
                    <xdr:col>1</xdr:col>
                    <xdr:colOff>22860</xdr:colOff>
                    <xdr:row>235</xdr:row>
                    <xdr:rowOff>7620</xdr:rowOff>
                  </from>
                  <to>
                    <xdr:col>2</xdr:col>
                    <xdr:colOff>0</xdr:colOff>
                    <xdr:row>235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6" name="Check Box 61">
              <controlPr defaultSize="0" autoFill="0" autoLine="0" autoPict="0">
                <anchor moveWithCells="1">
                  <from>
                    <xdr:col>2</xdr:col>
                    <xdr:colOff>22860</xdr:colOff>
                    <xdr:row>235</xdr:row>
                    <xdr:rowOff>7620</xdr:rowOff>
                  </from>
                  <to>
                    <xdr:col>2</xdr:col>
                    <xdr:colOff>914400</xdr:colOff>
                    <xdr:row>235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7" name="Check Box 63">
              <controlPr defaultSize="0" autoFill="0" autoLine="0" autoPict="0">
                <anchor moveWithCells="1">
                  <from>
                    <xdr:col>2</xdr:col>
                    <xdr:colOff>22860</xdr:colOff>
                    <xdr:row>247</xdr:row>
                    <xdr:rowOff>7620</xdr:rowOff>
                  </from>
                  <to>
                    <xdr:col>2</xdr:col>
                    <xdr:colOff>914400</xdr:colOff>
                    <xdr:row>247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8" name="Check Box 64">
              <controlPr defaultSize="0" autoFill="0" autoLine="0" autoPict="0">
                <anchor moveWithCells="1">
                  <from>
                    <xdr:col>1</xdr:col>
                    <xdr:colOff>22860</xdr:colOff>
                    <xdr:row>247</xdr:row>
                    <xdr:rowOff>7620</xdr:rowOff>
                  </from>
                  <to>
                    <xdr:col>2</xdr:col>
                    <xdr:colOff>0</xdr:colOff>
                    <xdr:row>247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9" name="Check Box 68">
              <controlPr defaultSize="0" autoFill="0" autoLine="0" autoPict="0">
                <anchor moveWithCells="1">
                  <from>
                    <xdr:col>2</xdr:col>
                    <xdr:colOff>22860</xdr:colOff>
                    <xdr:row>327</xdr:row>
                    <xdr:rowOff>7620</xdr:rowOff>
                  </from>
                  <to>
                    <xdr:col>2</xdr:col>
                    <xdr:colOff>914400</xdr:colOff>
                    <xdr:row>327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0" name="Check Box 69">
              <controlPr defaultSize="0" autoFill="0" autoLine="0" autoPict="0">
                <anchor moveWithCells="1">
                  <from>
                    <xdr:col>1</xdr:col>
                    <xdr:colOff>22860</xdr:colOff>
                    <xdr:row>327</xdr:row>
                    <xdr:rowOff>7620</xdr:rowOff>
                  </from>
                  <to>
                    <xdr:col>2</xdr:col>
                    <xdr:colOff>0</xdr:colOff>
                    <xdr:row>327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1" name="Check Box 70">
              <controlPr defaultSize="0" autoFill="0" autoLine="0" autoPict="0">
                <anchor moveWithCells="1">
                  <from>
                    <xdr:col>3</xdr:col>
                    <xdr:colOff>22860</xdr:colOff>
                    <xdr:row>327</xdr:row>
                    <xdr:rowOff>7620</xdr:rowOff>
                  </from>
                  <to>
                    <xdr:col>4</xdr:col>
                    <xdr:colOff>0</xdr:colOff>
                    <xdr:row>327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2" name="Check Box 71">
              <controlPr defaultSize="0" autoFill="0" autoLine="0" autoPict="0">
                <anchor moveWithCells="1">
                  <from>
                    <xdr:col>1</xdr:col>
                    <xdr:colOff>22860</xdr:colOff>
                    <xdr:row>328</xdr:row>
                    <xdr:rowOff>7620</xdr:rowOff>
                  </from>
                  <to>
                    <xdr:col>2</xdr:col>
                    <xdr:colOff>0</xdr:colOff>
                    <xdr:row>328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3" name="Check Box 72">
              <controlPr defaultSize="0" autoFill="0" autoLine="0" autoPict="0">
                <anchor moveWithCells="1">
                  <from>
                    <xdr:col>2</xdr:col>
                    <xdr:colOff>22860</xdr:colOff>
                    <xdr:row>328</xdr:row>
                    <xdr:rowOff>7620</xdr:rowOff>
                  </from>
                  <to>
                    <xdr:col>2</xdr:col>
                    <xdr:colOff>914400</xdr:colOff>
                    <xdr:row>328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4" name="Check Box 73">
              <controlPr defaultSize="0" autoFill="0" autoLine="0" autoPict="0">
                <anchor moveWithCells="1">
                  <from>
                    <xdr:col>3</xdr:col>
                    <xdr:colOff>22860</xdr:colOff>
                    <xdr:row>328</xdr:row>
                    <xdr:rowOff>7620</xdr:rowOff>
                  </from>
                  <to>
                    <xdr:col>4</xdr:col>
                    <xdr:colOff>0</xdr:colOff>
                    <xdr:row>328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5" name="Check Box 75">
              <controlPr defaultSize="0" autoFill="0" autoLine="0" autoPict="0">
                <anchor moveWithCells="1">
                  <from>
                    <xdr:col>1</xdr:col>
                    <xdr:colOff>22860</xdr:colOff>
                    <xdr:row>329</xdr:row>
                    <xdr:rowOff>7620</xdr:rowOff>
                  </from>
                  <to>
                    <xdr:col>2</xdr:col>
                    <xdr:colOff>0</xdr:colOff>
                    <xdr:row>329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6" name="Check Box 76">
              <controlPr defaultSize="0" autoFill="0" autoLine="0" autoPict="0">
                <anchor moveWithCells="1">
                  <from>
                    <xdr:col>2</xdr:col>
                    <xdr:colOff>22860</xdr:colOff>
                    <xdr:row>329</xdr:row>
                    <xdr:rowOff>7620</xdr:rowOff>
                  </from>
                  <to>
                    <xdr:col>2</xdr:col>
                    <xdr:colOff>914400</xdr:colOff>
                    <xdr:row>329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7" name="Check Box 78">
              <controlPr defaultSize="0" autoFill="0" autoLine="0" autoPict="0">
                <anchor moveWithCells="1">
                  <from>
                    <xdr:col>3</xdr:col>
                    <xdr:colOff>22860</xdr:colOff>
                    <xdr:row>329</xdr:row>
                    <xdr:rowOff>7620</xdr:rowOff>
                  </from>
                  <to>
                    <xdr:col>4</xdr:col>
                    <xdr:colOff>0</xdr:colOff>
                    <xdr:row>329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8" name="Check Box 80">
              <controlPr defaultSize="0" autoFill="0" autoLine="0" autoPict="0">
                <anchor moveWithCells="1">
                  <from>
                    <xdr:col>1</xdr:col>
                    <xdr:colOff>22860</xdr:colOff>
                    <xdr:row>330</xdr:row>
                    <xdr:rowOff>7620</xdr:rowOff>
                  </from>
                  <to>
                    <xdr:col>2</xdr:col>
                    <xdr:colOff>0</xdr:colOff>
                    <xdr:row>330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9" name="Check Box 82">
              <controlPr defaultSize="0" autoFill="0" autoLine="0" autoPict="0">
                <anchor moveWithCells="1">
                  <from>
                    <xdr:col>2</xdr:col>
                    <xdr:colOff>22860</xdr:colOff>
                    <xdr:row>330</xdr:row>
                    <xdr:rowOff>7620</xdr:rowOff>
                  </from>
                  <to>
                    <xdr:col>2</xdr:col>
                    <xdr:colOff>914400</xdr:colOff>
                    <xdr:row>330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0" name="Check Box 84">
              <controlPr defaultSize="0" autoFill="0" autoLine="0" autoPict="0">
                <anchor moveWithCells="1">
                  <from>
                    <xdr:col>3</xdr:col>
                    <xdr:colOff>22860</xdr:colOff>
                    <xdr:row>330</xdr:row>
                    <xdr:rowOff>7620</xdr:rowOff>
                  </from>
                  <to>
                    <xdr:col>4</xdr:col>
                    <xdr:colOff>0</xdr:colOff>
                    <xdr:row>330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1" name="Check Box 85">
              <controlPr defaultSize="0" autoFill="0" autoLine="0" autoPict="0">
                <anchor moveWithCells="1">
                  <from>
                    <xdr:col>1</xdr:col>
                    <xdr:colOff>22860</xdr:colOff>
                    <xdr:row>331</xdr:row>
                    <xdr:rowOff>7620</xdr:rowOff>
                  </from>
                  <to>
                    <xdr:col>2</xdr:col>
                    <xdr:colOff>0</xdr:colOff>
                    <xdr:row>331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2" name="Check Box 86">
              <controlPr defaultSize="0" autoFill="0" autoLine="0" autoPict="0">
                <anchor moveWithCells="1">
                  <from>
                    <xdr:col>2</xdr:col>
                    <xdr:colOff>22860</xdr:colOff>
                    <xdr:row>331</xdr:row>
                    <xdr:rowOff>7620</xdr:rowOff>
                  </from>
                  <to>
                    <xdr:col>2</xdr:col>
                    <xdr:colOff>914400</xdr:colOff>
                    <xdr:row>331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3" name="Check Box 88">
              <controlPr defaultSize="0" autoFill="0" autoLine="0" autoPict="0">
                <anchor moveWithCells="1">
                  <from>
                    <xdr:col>3</xdr:col>
                    <xdr:colOff>22860</xdr:colOff>
                    <xdr:row>331</xdr:row>
                    <xdr:rowOff>7620</xdr:rowOff>
                  </from>
                  <to>
                    <xdr:col>4</xdr:col>
                    <xdr:colOff>0</xdr:colOff>
                    <xdr:row>331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4" name="Check Box 90">
              <controlPr defaultSize="0" autoFill="0" autoLine="0" autoPict="0">
                <anchor moveWithCells="1">
                  <from>
                    <xdr:col>1</xdr:col>
                    <xdr:colOff>22860</xdr:colOff>
                    <xdr:row>332</xdr:row>
                    <xdr:rowOff>7620</xdr:rowOff>
                  </from>
                  <to>
                    <xdr:col>2</xdr:col>
                    <xdr:colOff>0</xdr:colOff>
                    <xdr:row>332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5" name="Check Box 91">
              <controlPr defaultSize="0" autoFill="0" autoLine="0" autoPict="0">
                <anchor moveWithCells="1">
                  <from>
                    <xdr:col>2</xdr:col>
                    <xdr:colOff>22860</xdr:colOff>
                    <xdr:row>332</xdr:row>
                    <xdr:rowOff>7620</xdr:rowOff>
                  </from>
                  <to>
                    <xdr:col>2</xdr:col>
                    <xdr:colOff>914400</xdr:colOff>
                    <xdr:row>332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6" name="Check Box 92">
              <controlPr defaultSize="0" autoFill="0" autoLine="0" autoPict="0">
                <anchor moveWithCells="1">
                  <from>
                    <xdr:col>3</xdr:col>
                    <xdr:colOff>22860</xdr:colOff>
                    <xdr:row>332</xdr:row>
                    <xdr:rowOff>7620</xdr:rowOff>
                  </from>
                  <to>
                    <xdr:col>4</xdr:col>
                    <xdr:colOff>0</xdr:colOff>
                    <xdr:row>332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7" name="Check Box 93">
              <controlPr defaultSize="0" autoFill="0" autoLine="0" autoPict="0">
                <anchor moveWithCells="1">
                  <from>
                    <xdr:col>1</xdr:col>
                    <xdr:colOff>22860</xdr:colOff>
                    <xdr:row>333</xdr:row>
                    <xdr:rowOff>7620</xdr:rowOff>
                  </from>
                  <to>
                    <xdr:col>2</xdr:col>
                    <xdr:colOff>0</xdr:colOff>
                    <xdr:row>333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58" name="Check Box 95">
              <controlPr defaultSize="0" autoFill="0" autoLine="0" autoPict="0">
                <anchor moveWithCells="1">
                  <from>
                    <xdr:col>2</xdr:col>
                    <xdr:colOff>22860</xdr:colOff>
                    <xdr:row>333</xdr:row>
                    <xdr:rowOff>7620</xdr:rowOff>
                  </from>
                  <to>
                    <xdr:col>2</xdr:col>
                    <xdr:colOff>914400</xdr:colOff>
                    <xdr:row>333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9" name="Check Box 97">
              <controlPr defaultSize="0" autoFill="0" autoLine="0" autoPict="0">
                <anchor moveWithCells="1">
                  <from>
                    <xdr:col>3</xdr:col>
                    <xdr:colOff>22860</xdr:colOff>
                    <xdr:row>333</xdr:row>
                    <xdr:rowOff>7620</xdr:rowOff>
                  </from>
                  <to>
                    <xdr:col>4</xdr:col>
                    <xdr:colOff>0</xdr:colOff>
                    <xdr:row>333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0" name="Check Box 98">
              <controlPr defaultSize="0" autoFill="0" autoLine="0" autoPict="0">
                <anchor moveWithCells="1">
                  <from>
                    <xdr:col>1</xdr:col>
                    <xdr:colOff>30480</xdr:colOff>
                    <xdr:row>62</xdr:row>
                    <xdr:rowOff>7620</xdr:rowOff>
                  </from>
                  <to>
                    <xdr:col>2</xdr:col>
                    <xdr:colOff>7620</xdr:colOff>
                    <xdr:row>62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61" name="Check Box 99">
              <controlPr defaultSize="0" autoFill="0" autoLine="0" autoPict="0">
                <anchor moveWithCells="1">
                  <from>
                    <xdr:col>2</xdr:col>
                    <xdr:colOff>30480</xdr:colOff>
                    <xdr:row>62</xdr:row>
                    <xdr:rowOff>7620</xdr:rowOff>
                  </from>
                  <to>
                    <xdr:col>2</xdr:col>
                    <xdr:colOff>922020</xdr:colOff>
                    <xdr:row>62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62" name="Check Box 101">
              <controlPr defaultSize="0" autoFill="0" autoLine="0" autoPict="0">
                <anchor moveWithCells="1">
                  <from>
                    <xdr:col>3</xdr:col>
                    <xdr:colOff>30480</xdr:colOff>
                    <xdr:row>62</xdr:row>
                    <xdr:rowOff>7620</xdr:rowOff>
                  </from>
                  <to>
                    <xdr:col>4</xdr:col>
                    <xdr:colOff>7620</xdr:colOff>
                    <xdr:row>62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63" name="Check Box 226">
              <controlPr defaultSize="0" autoFill="0" autoLine="0" autoPict="0" altText="Beslutad av _x000a_Länsstyrelsen">
                <anchor moveWithCells="1">
                  <from>
                    <xdr:col>2</xdr:col>
                    <xdr:colOff>0</xdr:colOff>
                    <xdr:row>2</xdr:row>
                    <xdr:rowOff>38100</xdr:rowOff>
                  </from>
                  <to>
                    <xdr:col>5</xdr:col>
                    <xdr:colOff>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64" name="Check Box 227">
              <controlPr defaultSize="0" autoFill="0" autoLine="0" autoPict="0" altText="Beslutad av _x000a_Länsstyrelsen">
                <anchor moveWithCells="1">
                  <from>
                    <xdr:col>2</xdr:col>
                    <xdr:colOff>0</xdr:colOff>
                    <xdr:row>2</xdr:row>
                    <xdr:rowOff>274320</xdr:rowOff>
                  </from>
                  <to>
                    <xdr:col>5</xdr:col>
                    <xdr:colOff>0</xdr:colOff>
                    <xdr:row>2</xdr:row>
                    <xdr:rowOff>525780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65" name="Check Box 228">
              <controlPr defaultSize="0" autoFill="0" autoLine="0" autoPict="0" altText="Beslutad av _x000a_Länsstyrelsen">
                <anchor moveWithCells="1">
                  <from>
                    <xdr:col>2</xdr:col>
                    <xdr:colOff>0</xdr:colOff>
                    <xdr:row>2</xdr:row>
                    <xdr:rowOff>556260</xdr:rowOff>
                  </from>
                  <to>
                    <xdr:col>5</xdr:col>
                    <xdr:colOff>0</xdr:colOff>
                    <xdr:row>2</xdr:row>
                    <xdr:rowOff>807720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66" name="Check Box 229">
              <controlPr defaultSize="0" autoFill="0" autoLine="0" autoPict="0" altText="Beslutad av _x000a_Länsstyrelsen">
                <anchor moveWithCells="1">
                  <from>
                    <xdr:col>0</xdr:col>
                    <xdr:colOff>7620</xdr:colOff>
                    <xdr:row>28</xdr:row>
                    <xdr:rowOff>38100</xdr:rowOff>
                  </from>
                  <to>
                    <xdr:col>1</xdr:col>
                    <xdr:colOff>906780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67" name="Check Box 230">
              <controlPr defaultSize="0" autoFill="0" autoLine="0" autoPict="0" altText="Beslutad av _x000a_Länsstyrelsen">
                <anchor moveWithCells="1">
                  <from>
                    <xdr:col>0</xdr:col>
                    <xdr:colOff>7620</xdr:colOff>
                    <xdr:row>32</xdr:row>
                    <xdr:rowOff>38100</xdr:rowOff>
                  </from>
                  <to>
                    <xdr:col>0</xdr:col>
                    <xdr:colOff>922020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68" name="Check Box 231">
              <controlPr defaultSize="0" autoFill="0" autoLine="0" autoPict="0" altText="Beslutad av _x000a_Länsstyrelsen">
                <anchor moveWithCells="1">
                  <from>
                    <xdr:col>0</xdr:col>
                    <xdr:colOff>0</xdr:colOff>
                    <xdr:row>29</xdr:row>
                    <xdr:rowOff>0</xdr:rowOff>
                  </from>
                  <to>
                    <xdr:col>3</xdr:col>
                    <xdr:colOff>868680</xdr:colOff>
                    <xdr:row>29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69" name="Check Box 232">
              <controlPr defaultSize="0" autoFill="0" autoLine="0" autoPict="0" altText="Beslutad av _x000a_Länsstyrelsen">
                <anchor moveWithCells="1">
                  <from>
                    <xdr:col>0</xdr:col>
                    <xdr:colOff>1181100</xdr:colOff>
                    <xdr:row>32</xdr:row>
                    <xdr:rowOff>22860</xdr:rowOff>
                  </from>
                  <to>
                    <xdr:col>0</xdr:col>
                    <xdr:colOff>1965960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70" name="Check Box 233">
              <controlPr defaultSize="0" autoFill="0" autoLine="0" autoPict="0" altText="Beslutad av _x000a_Länsstyrelsen">
                <anchor moveWithCells="1">
                  <from>
                    <xdr:col>1</xdr:col>
                    <xdr:colOff>327660</xdr:colOff>
                    <xdr:row>32</xdr:row>
                    <xdr:rowOff>38100</xdr:rowOff>
                  </from>
                  <to>
                    <xdr:col>2</xdr:col>
                    <xdr:colOff>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71" name="Check Box 234">
              <controlPr defaultSize="0" autoFill="0" autoLine="0" autoPict="0" altText="Beslutad av _x000a_Länsstyrelsen">
                <anchor moveWithCells="1">
                  <from>
                    <xdr:col>0</xdr:col>
                    <xdr:colOff>0</xdr:colOff>
                    <xdr:row>30</xdr:row>
                    <xdr:rowOff>0</xdr:rowOff>
                  </from>
                  <to>
                    <xdr:col>3</xdr:col>
                    <xdr:colOff>868680</xdr:colOff>
                    <xdr:row>30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72" name="Check Box 235">
              <controlPr defaultSize="0" autoFill="0" autoLine="0" autoPict="0" altText="Beslutad av _x000a_Länsstyrelsen">
                <anchor moveWithCells="1">
                  <from>
                    <xdr:col>2</xdr:col>
                    <xdr:colOff>0</xdr:colOff>
                    <xdr:row>3</xdr:row>
                    <xdr:rowOff>38100</xdr:rowOff>
                  </from>
                  <to>
                    <xdr:col>5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73" name="Check Box 236">
              <controlPr defaultSize="0" autoFill="0" autoLine="0" autoPict="0" altText="Beslutad av _x000a_Länsstyrelsen">
                <anchor moveWithCells="1">
                  <from>
                    <xdr:col>2</xdr:col>
                    <xdr:colOff>7620</xdr:colOff>
                    <xdr:row>4</xdr:row>
                    <xdr:rowOff>0</xdr:rowOff>
                  </from>
                  <to>
                    <xdr:col>3</xdr:col>
                    <xdr:colOff>655320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74" name="Check Box 250">
              <controlPr defaultSize="0" autoFill="0" autoLine="0" autoPict="0" altText="Beslutad av _x000a_Länsstyrelsen">
                <anchor moveWithCells="1">
                  <from>
                    <xdr:col>3</xdr:col>
                    <xdr:colOff>22860</xdr:colOff>
                    <xdr:row>11</xdr:row>
                    <xdr:rowOff>7620</xdr:rowOff>
                  </from>
                  <to>
                    <xdr:col>5</xdr:col>
                    <xdr:colOff>22860</xdr:colOff>
                    <xdr:row>11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75" name="Check Box 251">
              <controlPr defaultSize="0" autoFill="0" autoLine="0" autoPict="0">
                <anchor moveWithCells="1">
                  <from>
                    <xdr:col>3</xdr:col>
                    <xdr:colOff>22860</xdr:colOff>
                    <xdr:row>11</xdr:row>
                    <xdr:rowOff>297180</xdr:rowOff>
                  </from>
                  <to>
                    <xdr:col>5</xdr:col>
                    <xdr:colOff>22860</xdr:colOff>
                    <xdr:row>11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76" name="Check Box 263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313</xdr:row>
                    <xdr:rowOff>68580</xdr:rowOff>
                  </from>
                  <to>
                    <xdr:col>7</xdr:col>
                    <xdr:colOff>609600</xdr:colOff>
                    <xdr:row>314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408" yWindow="530" count="5">
        <x14:dataValidation type="list" showInputMessage="1" showErrorMessage="1" promptTitle="Välj styrparameter" prompt="Välj det alternativ som gäller för Ert ÄFO" xr:uid="{00000000-0002-0000-0200-000002000000}">
          <x14:formula1>
            <xm:f>Faktorer!$B$3:$B$7</xm:f>
          </x14:formula1>
          <xm:sqref>A86:A88</xm:sqref>
        </x14:dataValidation>
        <x14:dataValidation type="list" showInputMessage="1" showErrorMessage="1" promptTitle="Välj mått på betestryck" prompt="Välj det alternativ som bäst överensstämmer" xr:uid="{00000000-0002-0000-0200-000003000000}">
          <x14:formula1>
            <xm:f>Faktorer!$F$3:$F$7</xm:f>
          </x14:formula1>
          <xm:sqref>D237:F237</xm:sqref>
        </x14:dataValidation>
        <x14:dataValidation type="list" showInputMessage="1" showErrorMessage="1" promptTitle="Trendriktning" prompt="Välj ett av alternativen" xr:uid="{00000000-0002-0000-0200-000004000000}">
          <x14:formula1>
            <xm:f>Faktorer!$G$3:$G$8</xm:f>
          </x14:formula1>
          <xm:sqref>E294:E305</xm:sqref>
        </x14:dataValidation>
        <x14:dataValidation type="list" allowBlank="1" showInputMessage="1" showErrorMessage="1" xr:uid="{00000000-0002-0000-0200-000005000000}">
          <x14:formula1>
            <xm:f>Faktorer!$E$3:$E$5</xm:f>
          </x14:formula1>
          <xm:sqref>B229:D229</xm:sqref>
        </x14:dataValidation>
        <x14:dataValidation type="list" showInputMessage="1" showErrorMessage="1" promptTitle="Välj styrparameter" prompt="Välj det alternativ som gäller Ert ÄFO" xr:uid="{00000000-0002-0000-0200-000006000000}">
          <x14:formula1>
            <xm:f>Faktorer!$B$11:$B$17</xm:f>
          </x14:formula1>
          <xm:sqref>C11:E11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11"/>
  <dimension ref="A1:MQ3"/>
  <sheetViews>
    <sheetView workbookViewId="0">
      <selection activeCell="I25" sqref="I25 I25"/>
    </sheetView>
  </sheetViews>
  <sheetFormatPr defaultRowHeight="14.4" x14ac:dyDescent="0.3"/>
  <cols>
    <col min="1" max="7" width="9.109375" style="70" customWidth="1"/>
    <col min="8" max="10" width="10.44140625" style="70" customWidth="1"/>
    <col min="11" max="28" width="9.109375" style="70" customWidth="1"/>
    <col min="29" max="29" width="10.44140625" style="70" bestFit="1" customWidth="1"/>
    <col min="30" max="33" width="9.109375" style="70" customWidth="1"/>
    <col min="34" max="34" width="10.44140625" style="70" bestFit="1" customWidth="1"/>
    <col min="35" max="116" width="9.109375" style="70" customWidth="1"/>
  </cols>
  <sheetData>
    <row r="1" spans="1:355" x14ac:dyDescent="0.3">
      <c r="A1" s="70" t="s">
        <v>362</v>
      </c>
      <c r="B1" s="70" t="s">
        <v>363</v>
      </c>
      <c r="C1" s="70" t="s">
        <v>364</v>
      </c>
      <c r="D1" s="70" t="s">
        <v>365</v>
      </c>
      <c r="E1" s="70" t="s">
        <v>366</v>
      </c>
      <c r="F1" s="70" t="s">
        <v>367</v>
      </c>
      <c r="G1" s="70" t="s">
        <v>368</v>
      </c>
      <c r="H1" s="70" t="s">
        <v>369</v>
      </c>
      <c r="I1" s="70" t="s">
        <v>370</v>
      </c>
      <c r="J1" s="70" t="s">
        <v>371</v>
      </c>
      <c r="K1" s="70" t="s">
        <v>372</v>
      </c>
      <c r="L1" s="70" t="s">
        <v>373</v>
      </c>
      <c r="M1" s="70" t="s">
        <v>374</v>
      </c>
      <c r="N1" s="70" t="s">
        <v>375</v>
      </c>
      <c r="O1" s="70" t="s">
        <v>376</v>
      </c>
      <c r="P1" s="70" t="s">
        <v>377</v>
      </c>
      <c r="Q1" s="70" t="s">
        <v>378</v>
      </c>
      <c r="R1" s="70" t="s">
        <v>379</v>
      </c>
      <c r="S1" s="70" t="s">
        <v>380</v>
      </c>
      <c r="T1" s="70" t="s">
        <v>381</v>
      </c>
      <c r="U1" s="70" t="s">
        <v>382</v>
      </c>
      <c r="V1" s="70" t="s">
        <v>383</v>
      </c>
      <c r="W1" s="70" t="s">
        <v>384</v>
      </c>
      <c r="X1" s="70" t="s">
        <v>385</v>
      </c>
      <c r="Y1" s="70" t="s">
        <v>386</v>
      </c>
      <c r="Z1" s="70" t="s">
        <v>387</v>
      </c>
      <c r="AA1" s="70" t="s">
        <v>388</v>
      </c>
      <c r="AB1" s="70" t="s">
        <v>389</v>
      </c>
      <c r="AC1" s="70" t="s">
        <v>390</v>
      </c>
      <c r="AD1" s="70" t="s">
        <v>391</v>
      </c>
      <c r="AE1" s="70" t="s">
        <v>392</v>
      </c>
      <c r="AF1" s="70" t="s">
        <v>393</v>
      </c>
      <c r="AG1" s="70" t="s">
        <v>394</v>
      </c>
      <c r="AH1" s="70" t="s">
        <v>395</v>
      </c>
      <c r="AI1" s="70" t="s">
        <v>396</v>
      </c>
      <c r="AJ1" s="70" t="s">
        <v>397</v>
      </c>
      <c r="AK1" s="70" t="s">
        <v>398</v>
      </c>
      <c r="AL1" s="70" t="s">
        <v>399</v>
      </c>
      <c r="AM1" s="70" t="s">
        <v>400</v>
      </c>
      <c r="AN1" s="70" t="s">
        <v>401</v>
      </c>
      <c r="AO1" s="70" t="s">
        <v>402</v>
      </c>
      <c r="AP1" s="70" t="s">
        <v>403</v>
      </c>
      <c r="AQ1" s="70" t="s">
        <v>404</v>
      </c>
      <c r="AR1" s="70" t="s">
        <v>405</v>
      </c>
      <c r="AS1" s="70" t="s">
        <v>406</v>
      </c>
      <c r="AT1" s="70" t="s">
        <v>407</v>
      </c>
      <c r="AU1" s="70" t="s">
        <v>408</v>
      </c>
      <c r="AV1" s="70" t="s">
        <v>409</v>
      </c>
      <c r="AW1" s="70" t="s">
        <v>410</v>
      </c>
      <c r="AX1" s="70" t="s">
        <v>411</v>
      </c>
      <c r="AY1" s="70" t="s">
        <v>412</v>
      </c>
      <c r="AZ1" s="70" t="s">
        <v>413</v>
      </c>
      <c r="BA1" s="70" t="s">
        <v>414</v>
      </c>
      <c r="BB1" s="70" t="s">
        <v>415</v>
      </c>
      <c r="BC1" s="70" t="s">
        <v>416</v>
      </c>
      <c r="BD1" s="70" t="s">
        <v>417</v>
      </c>
      <c r="BE1" s="70" t="s">
        <v>418</v>
      </c>
      <c r="BF1" s="70" t="s">
        <v>419</v>
      </c>
      <c r="BG1" s="70" t="s">
        <v>420</v>
      </c>
      <c r="BH1" s="70" t="s">
        <v>421</v>
      </c>
      <c r="BI1" s="70" t="s">
        <v>422</v>
      </c>
      <c r="BJ1" s="70" t="s">
        <v>423</v>
      </c>
      <c r="BK1" s="70" t="s">
        <v>424</v>
      </c>
      <c r="BL1" s="70" t="s">
        <v>425</v>
      </c>
      <c r="BM1" s="70" t="s">
        <v>426</v>
      </c>
      <c r="BN1" s="70" t="s">
        <v>427</v>
      </c>
      <c r="BO1" s="70" t="s">
        <v>428</v>
      </c>
      <c r="BP1" s="70" t="s">
        <v>429</v>
      </c>
      <c r="BQ1" s="70" t="s">
        <v>430</v>
      </c>
      <c r="BR1" s="70" t="s">
        <v>431</v>
      </c>
      <c r="BS1" s="70" t="s">
        <v>432</v>
      </c>
      <c r="BT1" s="70" t="s">
        <v>433</v>
      </c>
      <c r="BU1" s="70" t="s">
        <v>434</v>
      </c>
      <c r="BV1" s="70" t="s">
        <v>435</v>
      </c>
      <c r="BW1" s="70" t="s">
        <v>436</v>
      </c>
      <c r="BX1" s="70" t="s">
        <v>437</v>
      </c>
      <c r="BY1" s="70" t="s">
        <v>438</v>
      </c>
      <c r="BZ1" s="70" t="s">
        <v>439</v>
      </c>
      <c r="CA1" s="70" t="s">
        <v>440</v>
      </c>
      <c r="CB1" s="70" t="s">
        <v>441</v>
      </c>
      <c r="CC1" s="70" t="s">
        <v>442</v>
      </c>
      <c r="CD1" s="70" t="s">
        <v>443</v>
      </c>
      <c r="CE1" s="70" t="s">
        <v>444</v>
      </c>
      <c r="CF1" s="70" t="s">
        <v>445</v>
      </c>
      <c r="CG1" s="70" t="s">
        <v>446</v>
      </c>
      <c r="CH1" s="70" t="s">
        <v>447</v>
      </c>
      <c r="CI1" s="70" t="s">
        <v>448</v>
      </c>
      <c r="CJ1" s="70" t="s">
        <v>449</v>
      </c>
      <c r="CK1" s="70" t="s">
        <v>450</v>
      </c>
      <c r="CL1" s="70" t="s">
        <v>451</v>
      </c>
      <c r="CM1" s="70" t="s">
        <v>452</v>
      </c>
      <c r="CN1" s="70" t="s">
        <v>453</v>
      </c>
      <c r="CO1" s="70" t="s">
        <v>454</v>
      </c>
      <c r="CP1" s="70" t="s">
        <v>455</v>
      </c>
      <c r="CQ1" s="70" t="s">
        <v>456</v>
      </c>
      <c r="CR1" s="70" t="s">
        <v>457</v>
      </c>
      <c r="CS1" s="70" t="s">
        <v>458</v>
      </c>
      <c r="CT1" s="70" t="s">
        <v>459</v>
      </c>
      <c r="CU1" s="70" t="s">
        <v>460</v>
      </c>
      <c r="CV1" s="70" t="s">
        <v>461</v>
      </c>
      <c r="CW1" s="70" t="s">
        <v>462</v>
      </c>
      <c r="CX1" s="70" t="s">
        <v>463</v>
      </c>
      <c r="CY1" s="70" t="s">
        <v>464</v>
      </c>
      <c r="CZ1" s="70" t="s">
        <v>465</v>
      </c>
      <c r="DA1" s="70" t="s">
        <v>466</v>
      </c>
      <c r="DB1" s="70" t="s">
        <v>467</v>
      </c>
      <c r="DC1" s="70" t="s">
        <v>468</v>
      </c>
      <c r="DD1" s="70" t="s">
        <v>469</v>
      </c>
      <c r="DE1" s="70" t="s">
        <v>470</v>
      </c>
      <c r="DF1" s="70" t="s">
        <v>471</v>
      </c>
      <c r="DG1" s="70" t="s">
        <v>472</v>
      </c>
      <c r="DH1" s="70" t="s">
        <v>473</v>
      </c>
      <c r="DI1" s="70" t="s">
        <v>474</v>
      </c>
      <c r="DJ1" s="70" t="s">
        <v>475</v>
      </c>
      <c r="DK1" s="70" t="s">
        <v>476</v>
      </c>
      <c r="DL1" s="70" t="s">
        <v>477</v>
      </c>
      <c r="DM1" s="70" t="s">
        <v>478</v>
      </c>
      <c r="DN1" s="70" t="s">
        <v>479</v>
      </c>
      <c r="DO1" s="70" t="s">
        <v>480</v>
      </c>
      <c r="DP1" s="70" t="s">
        <v>481</v>
      </c>
      <c r="DQ1" s="70" t="s">
        <v>482</v>
      </c>
      <c r="DR1" s="70" t="s">
        <v>483</v>
      </c>
      <c r="DS1" s="70" t="s">
        <v>484</v>
      </c>
      <c r="DT1" s="70" t="s">
        <v>485</v>
      </c>
      <c r="DU1" s="70" t="s">
        <v>486</v>
      </c>
      <c r="DV1" s="70" t="s">
        <v>487</v>
      </c>
      <c r="DW1" s="70" t="s">
        <v>488</v>
      </c>
      <c r="DX1" s="70" t="s">
        <v>489</v>
      </c>
      <c r="DY1" s="70" t="s">
        <v>490</v>
      </c>
      <c r="DZ1" s="70" t="s">
        <v>491</v>
      </c>
      <c r="EA1" s="70" t="s">
        <v>492</v>
      </c>
      <c r="EB1" s="70" t="s">
        <v>493</v>
      </c>
      <c r="EC1" s="70" t="s">
        <v>494</v>
      </c>
      <c r="ED1" s="70" t="s">
        <v>495</v>
      </c>
      <c r="EE1" s="70" t="s">
        <v>496</v>
      </c>
      <c r="EF1" s="70" t="s">
        <v>497</v>
      </c>
      <c r="EG1" s="70" t="s">
        <v>498</v>
      </c>
      <c r="EH1" s="70" t="s">
        <v>499</v>
      </c>
      <c r="EI1" s="70" t="s">
        <v>500</v>
      </c>
      <c r="EL1" s="70" t="s">
        <v>501</v>
      </c>
      <c r="EM1" s="70" t="s">
        <v>502</v>
      </c>
      <c r="EN1" s="70" t="s">
        <v>503</v>
      </c>
      <c r="EO1" s="70" t="s">
        <v>504</v>
      </c>
      <c r="EP1" s="70" t="s">
        <v>505</v>
      </c>
      <c r="EQ1" s="70" t="s">
        <v>506</v>
      </c>
      <c r="ER1" s="70" t="s">
        <v>507</v>
      </c>
      <c r="ES1" s="70" t="s">
        <v>508</v>
      </c>
      <c r="ET1" s="70" t="s">
        <v>509</v>
      </c>
      <c r="EU1" s="70" t="s">
        <v>510</v>
      </c>
      <c r="EV1" s="70" t="s">
        <v>511</v>
      </c>
      <c r="EW1" s="70" t="s">
        <v>512</v>
      </c>
      <c r="EX1" s="70" t="s">
        <v>513</v>
      </c>
      <c r="EY1" s="70" t="s">
        <v>514</v>
      </c>
      <c r="EZ1" s="70" t="s">
        <v>515</v>
      </c>
      <c r="FA1" s="70" t="s">
        <v>516</v>
      </c>
      <c r="FB1" s="70" t="s">
        <v>517</v>
      </c>
      <c r="FC1" s="70" t="s">
        <v>518</v>
      </c>
      <c r="FD1" s="70" t="s">
        <v>519</v>
      </c>
      <c r="FE1" s="70" t="s">
        <v>520</v>
      </c>
      <c r="FF1" s="70" t="s">
        <v>521</v>
      </c>
      <c r="FG1" s="70" t="s">
        <v>522</v>
      </c>
      <c r="FH1" s="70" t="s">
        <v>523</v>
      </c>
      <c r="FI1" s="70" t="s">
        <v>524</v>
      </c>
      <c r="FJ1" s="70" t="s">
        <v>525</v>
      </c>
      <c r="FK1" s="70" t="s">
        <v>526</v>
      </c>
      <c r="FL1" s="70" t="s">
        <v>527</v>
      </c>
      <c r="FM1" s="70" t="s">
        <v>528</v>
      </c>
      <c r="FN1" s="70" t="s">
        <v>529</v>
      </c>
      <c r="FO1" s="70" t="s">
        <v>530</v>
      </c>
      <c r="FP1" s="70" t="s">
        <v>531</v>
      </c>
      <c r="FQ1" s="70" t="s">
        <v>532</v>
      </c>
      <c r="FR1" s="70" t="s">
        <v>533</v>
      </c>
      <c r="FS1" s="70" t="s">
        <v>534</v>
      </c>
      <c r="FT1" s="70" t="s">
        <v>535</v>
      </c>
      <c r="FU1" s="70" t="s">
        <v>536</v>
      </c>
      <c r="FV1" s="70" t="s">
        <v>537</v>
      </c>
      <c r="FW1" s="70" t="s">
        <v>538</v>
      </c>
      <c r="FX1" s="70" t="s">
        <v>539</v>
      </c>
      <c r="FY1" s="70" t="s">
        <v>540</v>
      </c>
      <c r="FZ1" s="70" t="s">
        <v>541</v>
      </c>
      <c r="GA1" s="70" t="s">
        <v>542</v>
      </c>
      <c r="GB1" s="70" t="s">
        <v>543</v>
      </c>
      <c r="GC1" s="70" t="s">
        <v>544</v>
      </c>
      <c r="GD1" s="70" t="s">
        <v>545</v>
      </c>
      <c r="GE1" s="70" t="s">
        <v>546</v>
      </c>
      <c r="GF1" s="70" t="s">
        <v>547</v>
      </c>
      <c r="GG1" s="70" t="s">
        <v>548</v>
      </c>
      <c r="GH1" s="70" t="s">
        <v>549</v>
      </c>
      <c r="GI1" s="70" t="s">
        <v>550</v>
      </c>
      <c r="GJ1" s="70" t="s">
        <v>551</v>
      </c>
      <c r="GK1" s="70" t="s">
        <v>552</v>
      </c>
      <c r="GL1" s="70" t="s">
        <v>553</v>
      </c>
      <c r="GM1" s="70" t="s">
        <v>554</v>
      </c>
      <c r="GN1" s="70" t="s">
        <v>555</v>
      </c>
      <c r="GO1" s="70" t="s">
        <v>556</v>
      </c>
      <c r="GP1" s="70" t="s">
        <v>557</v>
      </c>
      <c r="GQ1" s="70" t="s">
        <v>558</v>
      </c>
      <c r="GR1" s="70" t="s">
        <v>559</v>
      </c>
      <c r="GS1" s="70" t="s">
        <v>560</v>
      </c>
      <c r="GT1" s="70" t="s">
        <v>561</v>
      </c>
      <c r="GU1" s="70" t="s">
        <v>562</v>
      </c>
      <c r="GV1" s="70" t="s">
        <v>563</v>
      </c>
      <c r="GW1" s="70" t="s">
        <v>564</v>
      </c>
      <c r="GX1" s="70" t="s">
        <v>565</v>
      </c>
      <c r="GY1" s="70" t="s">
        <v>566</v>
      </c>
      <c r="GZ1" s="70" t="s">
        <v>567</v>
      </c>
      <c r="HA1" s="70" t="s">
        <v>568</v>
      </c>
      <c r="HB1" s="70" t="s">
        <v>569</v>
      </c>
      <c r="HC1" s="70" t="s">
        <v>570</v>
      </c>
      <c r="HD1" s="70" t="s">
        <v>571</v>
      </c>
      <c r="HE1" s="70" t="s">
        <v>572</v>
      </c>
      <c r="HF1" s="70" t="s">
        <v>573</v>
      </c>
      <c r="HG1" s="70" t="s">
        <v>574</v>
      </c>
      <c r="HH1" s="70" t="s">
        <v>575</v>
      </c>
      <c r="HI1" s="70" t="s">
        <v>576</v>
      </c>
      <c r="HJ1" s="70" t="s">
        <v>577</v>
      </c>
      <c r="HK1" s="70" t="s">
        <v>578</v>
      </c>
      <c r="HL1" s="70" t="s">
        <v>579</v>
      </c>
      <c r="HM1" s="70" t="s">
        <v>580</v>
      </c>
      <c r="HN1" s="70" t="s">
        <v>581</v>
      </c>
      <c r="HO1" s="70" t="s">
        <v>582</v>
      </c>
      <c r="HP1" s="70" t="s">
        <v>583</v>
      </c>
      <c r="HQ1" s="70" t="s">
        <v>584</v>
      </c>
      <c r="HR1" s="70" t="s">
        <v>585</v>
      </c>
      <c r="HS1" s="70" t="s">
        <v>586</v>
      </c>
      <c r="HT1" s="70" t="s">
        <v>587</v>
      </c>
      <c r="HU1" s="70" t="s">
        <v>588</v>
      </c>
      <c r="HV1" s="70" t="s">
        <v>589</v>
      </c>
      <c r="HW1" s="70" t="s">
        <v>590</v>
      </c>
      <c r="HX1" s="70" t="s">
        <v>591</v>
      </c>
      <c r="HY1" s="70" t="s">
        <v>592</v>
      </c>
      <c r="HZ1" s="70" t="s">
        <v>593</v>
      </c>
      <c r="IA1" s="70" t="s">
        <v>594</v>
      </c>
      <c r="IB1" s="70" t="s">
        <v>595</v>
      </c>
      <c r="IC1" s="70" t="s">
        <v>596</v>
      </c>
      <c r="ID1" s="70" t="s">
        <v>597</v>
      </c>
      <c r="IE1" s="70" t="s">
        <v>598</v>
      </c>
      <c r="IF1" s="70" t="s">
        <v>599</v>
      </c>
      <c r="IG1" s="70" t="s">
        <v>600</v>
      </c>
      <c r="IH1" s="70" t="s">
        <v>601</v>
      </c>
      <c r="II1" s="70" t="s">
        <v>602</v>
      </c>
      <c r="IJ1" s="70" t="s">
        <v>603</v>
      </c>
      <c r="IK1" s="70" t="s">
        <v>604</v>
      </c>
      <c r="IL1" s="70" t="s">
        <v>605</v>
      </c>
      <c r="IM1" s="70" t="s">
        <v>606</v>
      </c>
      <c r="IN1" s="70" t="s">
        <v>607</v>
      </c>
      <c r="IO1" s="70" t="s">
        <v>608</v>
      </c>
      <c r="IP1" s="70" t="s">
        <v>609</v>
      </c>
      <c r="IQ1" s="70" t="s">
        <v>610</v>
      </c>
      <c r="IR1" s="70" t="s">
        <v>611</v>
      </c>
      <c r="IS1" s="70" t="s">
        <v>612</v>
      </c>
      <c r="IT1" s="70" t="s">
        <v>613</v>
      </c>
      <c r="IU1" s="70" t="s">
        <v>614</v>
      </c>
      <c r="IV1" s="70" t="s">
        <v>615</v>
      </c>
      <c r="IW1" s="70" t="s">
        <v>616</v>
      </c>
      <c r="IX1" s="70" t="s">
        <v>617</v>
      </c>
      <c r="IY1" s="70" t="s">
        <v>618</v>
      </c>
      <c r="IZ1" s="70" t="s">
        <v>619</v>
      </c>
      <c r="JA1" s="70" t="s">
        <v>620</v>
      </c>
      <c r="JB1" s="70" t="s">
        <v>621</v>
      </c>
      <c r="JC1" s="70" t="s">
        <v>622</v>
      </c>
      <c r="JD1" s="70" t="s">
        <v>623</v>
      </c>
      <c r="JE1" s="70" t="s">
        <v>624</v>
      </c>
      <c r="JF1" s="70" t="s">
        <v>625</v>
      </c>
      <c r="JG1" s="70" t="s">
        <v>626</v>
      </c>
      <c r="JH1" s="70" t="s">
        <v>627</v>
      </c>
      <c r="JI1" s="70" t="s">
        <v>628</v>
      </c>
      <c r="JJ1" s="70" t="s">
        <v>629</v>
      </c>
      <c r="JK1" s="70" t="s">
        <v>630</v>
      </c>
      <c r="JL1" s="70" t="s">
        <v>631</v>
      </c>
      <c r="JM1" s="70" t="s">
        <v>632</v>
      </c>
      <c r="JN1" s="70" t="s">
        <v>633</v>
      </c>
      <c r="JO1" s="70" t="s">
        <v>634</v>
      </c>
      <c r="JP1" s="70" t="s">
        <v>635</v>
      </c>
      <c r="JQ1" s="70" t="s">
        <v>636</v>
      </c>
      <c r="JX1" s="70" t="s">
        <v>637</v>
      </c>
      <c r="JY1" s="70" t="s">
        <v>638</v>
      </c>
      <c r="JZ1" s="70" t="s">
        <v>639</v>
      </c>
      <c r="KA1" s="70" t="s">
        <v>640</v>
      </c>
      <c r="KB1" s="70" t="s">
        <v>641</v>
      </c>
      <c r="KC1" s="70" t="s">
        <v>642</v>
      </c>
      <c r="KD1" s="70" t="s">
        <v>643</v>
      </c>
      <c r="KE1" s="70" t="s">
        <v>644</v>
      </c>
      <c r="KF1" s="70" t="s">
        <v>645</v>
      </c>
      <c r="KG1" s="70" t="s">
        <v>646</v>
      </c>
      <c r="KH1" s="70" t="s">
        <v>647</v>
      </c>
      <c r="KI1" s="70" t="s">
        <v>648</v>
      </c>
      <c r="KJ1" s="70" t="s">
        <v>649</v>
      </c>
      <c r="KK1" s="70" t="s">
        <v>650</v>
      </c>
      <c r="KL1" s="70" t="s">
        <v>651</v>
      </c>
      <c r="KM1" s="70" t="s">
        <v>652</v>
      </c>
      <c r="KN1" s="70" t="s">
        <v>653</v>
      </c>
      <c r="KO1" s="70" t="s">
        <v>654</v>
      </c>
      <c r="KP1" s="70" t="s">
        <v>655</v>
      </c>
      <c r="KQ1" s="70" t="s">
        <v>656</v>
      </c>
      <c r="KR1" s="70" t="s">
        <v>657</v>
      </c>
      <c r="KS1" s="70" t="s">
        <v>658</v>
      </c>
      <c r="KT1" s="70" t="s">
        <v>659</v>
      </c>
      <c r="KU1" s="70" t="s">
        <v>660</v>
      </c>
      <c r="KV1" s="70" t="s">
        <v>661</v>
      </c>
      <c r="KW1" s="70" t="s">
        <v>662</v>
      </c>
      <c r="KX1" s="70" t="s">
        <v>663</v>
      </c>
      <c r="KY1" s="70" t="s">
        <v>664</v>
      </c>
      <c r="KZ1" s="70" t="s">
        <v>665</v>
      </c>
      <c r="LA1" s="70" t="s">
        <v>666</v>
      </c>
      <c r="LB1" s="70" t="s">
        <v>667</v>
      </c>
      <c r="LC1" s="70" t="s">
        <v>668</v>
      </c>
      <c r="LD1" s="70" t="s">
        <v>669</v>
      </c>
      <c r="LE1" s="70" t="s">
        <v>670</v>
      </c>
      <c r="LF1" s="70" t="s">
        <v>671</v>
      </c>
      <c r="LG1" s="70" t="s">
        <v>672</v>
      </c>
      <c r="LH1" s="70" t="s">
        <v>673</v>
      </c>
      <c r="LI1" s="70" t="s">
        <v>674</v>
      </c>
      <c r="LJ1" s="70" t="s">
        <v>675</v>
      </c>
      <c r="LK1" s="70" t="s">
        <v>676</v>
      </c>
      <c r="LL1" s="70" t="s">
        <v>677</v>
      </c>
      <c r="LM1" s="70" t="s">
        <v>678</v>
      </c>
      <c r="LN1" s="70" t="s">
        <v>679</v>
      </c>
      <c r="LO1" s="70" t="s">
        <v>680</v>
      </c>
      <c r="LP1" s="70" t="s">
        <v>681</v>
      </c>
      <c r="LQ1" s="70" t="s">
        <v>682</v>
      </c>
      <c r="LR1" s="70" t="s">
        <v>683</v>
      </c>
      <c r="LS1" s="70" t="s">
        <v>684</v>
      </c>
      <c r="LT1" s="70" t="s">
        <v>685</v>
      </c>
      <c r="LU1" s="70" t="s">
        <v>686</v>
      </c>
      <c r="LV1" s="70" t="s">
        <v>687</v>
      </c>
      <c r="LW1" s="70" t="s">
        <v>688</v>
      </c>
      <c r="LX1" s="70" t="s">
        <v>689</v>
      </c>
      <c r="LY1" s="70" t="s">
        <v>690</v>
      </c>
      <c r="LZ1" s="70" t="s">
        <v>691</v>
      </c>
      <c r="MA1" s="70" t="s">
        <v>692</v>
      </c>
      <c r="MB1" s="70" t="s">
        <v>693</v>
      </c>
      <c r="MC1" s="70" t="s">
        <v>694</v>
      </c>
      <c r="MD1" s="70" t="s">
        <v>695</v>
      </c>
      <c r="ME1" s="70" t="s">
        <v>696</v>
      </c>
      <c r="MH1" s="70" t="s">
        <v>697</v>
      </c>
      <c r="MI1" s="70" t="s">
        <v>698</v>
      </c>
      <c r="MJ1" s="70" t="s">
        <v>699</v>
      </c>
      <c r="MK1" s="70" t="s">
        <v>700</v>
      </c>
      <c r="ML1" s="70" t="s">
        <v>701</v>
      </c>
      <c r="MM1" s="70" t="s">
        <v>702</v>
      </c>
      <c r="MN1" s="70" t="s">
        <v>703</v>
      </c>
      <c r="MO1" s="70" t="s">
        <v>704</v>
      </c>
      <c r="MP1" s="70" t="s">
        <v>705</v>
      </c>
    </row>
    <row r="2" spans="1:355" x14ac:dyDescent="0.3">
      <c r="A2" s="70" t="str">
        <f>Skötselplan!C1</f>
        <v>GARPENBERGS ÄLGSKÖTSELOMRÅDE</v>
      </c>
      <c r="B2" s="70" t="b">
        <v>1</v>
      </c>
      <c r="C2" s="70" t="b">
        <v>0</v>
      </c>
      <c r="D2" s="70" t="b">
        <v>0</v>
      </c>
      <c r="E2" s="70" t="b">
        <v>1</v>
      </c>
      <c r="F2" s="70" t="b">
        <v>0</v>
      </c>
      <c r="G2" s="180">
        <f>Skötselplan!E5</f>
        <v>0</v>
      </c>
      <c r="H2" s="181">
        <f>Skötselplan!C6</f>
        <v>42914</v>
      </c>
      <c r="I2" s="180">
        <f>Skötselplan!C15</f>
        <v>0</v>
      </c>
      <c r="J2" s="76" t="str">
        <f>Skötselplan!C16</f>
        <v>Gävle-Dala ÄFO</v>
      </c>
      <c r="K2" s="70" t="str">
        <f>Skötselplan!C8</f>
        <v>20-83-02-003 Ä</v>
      </c>
      <c r="L2" s="180" t="str">
        <f>Skötselplan!A21</f>
        <v>Jan Henriksson</v>
      </c>
      <c r="M2" s="180" t="str">
        <f>Skötselplan!A23</f>
        <v>Grytnäs 47</v>
      </c>
      <c r="N2" s="180" t="str">
        <f>Skötselplan!A23</f>
        <v>Grytnäs 47</v>
      </c>
      <c r="O2" s="180" t="str">
        <f>Skötselplan!A25</f>
        <v>774 92  Avesta</v>
      </c>
      <c r="P2" s="70" t="str">
        <f>Skötselplan!D21</f>
        <v>070 - 622 93 40</v>
      </c>
      <c r="Q2" s="70" t="str">
        <f>Skötselplan!D23</f>
        <v>070 - 622 93 40</v>
      </c>
      <c r="R2" s="180" t="str">
        <f>Skötselplan!A27</f>
        <v>janne@fabeco.se</v>
      </c>
      <c r="S2" s="180" t="b">
        <v>1</v>
      </c>
      <c r="T2" s="180" t="b">
        <v>0</v>
      </c>
      <c r="U2" s="180" t="b">
        <v>0</v>
      </c>
      <c r="V2" s="70" t="b">
        <v>1</v>
      </c>
      <c r="W2" s="70" t="b">
        <v>0</v>
      </c>
      <c r="X2" s="70" t="b">
        <v>0</v>
      </c>
      <c r="Y2" s="180">
        <f>Skötselplan!$C$33</f>
        <v>0</v>
      </c>
      <c r="Z2" s="180">
        <f>Skötselplan!$A$35</f>
        <v>0</v>
      </c>
      <c r="AA2" s="70">
        <f>Skötselplan!C9</f>
        <v>2017</v>
      </c>
      <c r="AB2" s="70">
        <f>Skötselplan!E9</f>
        <v>2019</v>
      </c>
      <c r="AC2" s="181">
        <f>Skötselplan!C10</f>
        <v>0</v>
      </c>
      <c r="AD2" s="70" t="str">
        <f>Skötselplan!C11</f>
        <v>I period pga ändrade förhållanden</v>
      </c>
      <c r="AE2" s="70" t="str">
        <f>Skötselplan!C14</f>
        <v>Länsstyrelsen  Dalarnas län</v>
      </c>
      <c r="AF2" s="70">
        <f>Skötselplan!F14</f>
        <v>0</v>
      </c>
      <c r="AG2" s="70">
        <f>Skötselplan!C15</f>
        <v>0</v>
      </c>
      <c r="AH2" s="181">
        <f>Skötselplan!C39</f>
        <v>0</v>
      </c>
      <c r="AI2" s="70" t="b">
        <v>0</v>
      </c>
      <c r="AJ2" s="70" t="b">
        <v>0</v>
      </c>
      <c r="AK2" s="70" t="b">
        <v>1</v>
      </c>
      <c r="AL2" s="70">
        <f>Skötselplan!B74</f>
        <v>8.8000000000000007</v>
      </c>
      <c r="AM2" s="70">
        <f>Skötselplan!C74</f>
        <v>8.4</v>
      </c>
      <c r="AN2" s="70">
        <f>Skötselplan!D74</f>
        <v>8</v>
      </c>
      <c r="AO2" s="182">
        <f>Skötselplan!B77</f>
        <v>0.4</v>
      </c>
      <c r="AP2" s="183">
        <f>Skötselplan!B78</f>
        <v>0.8</v>
      </c>
      <c r="AQ2" s="182">
        <f>Skötselplan!B79</f>
        <v>0.5</v>
      </c>
      <c r="AR2" s="180">
        <f>Skötselplan!B80</f>
        <v>70</v>
      </c>
      <c r="AS2" s="70" t="str">
        <f>Skötselplan!A86</f>
        <v>Välj i lista</v>
      </c>
      <c r="AT2" s="182" t="str">
        <f>Skötselplan!E86</f>
        <v xml:space="preserve"> </v>
      </c>
      <c r="AU2" s="180" t="str">
        <f>Skötselplan!A87</f>
        <v>Välj i lista</v>
      </c>
      <c r="AV2" s="180">
        <f>Skötselplan!E87</f>
        <v>0</v>
      </c>
      <c r="AW2" s="180" t="str">
        <f>Skötselplan!A88</f>
        <v>Välj i lista</v>
      </c>
      <c r="AX2" s="182">
        <f>Skötselplan!E88</f>
        <v>0.04</v>
      </c>
      <c r="AY2" s="180">
        <f>Skötselplan!B98</f>
        <v>32</v>
      </c>
      <c r="AZ2" s="180">
        <f>Skötselplan!B99</f>
        <v>19</v>
      </c>
      <c r="BA2" s="180">
        <f>Skötselplan!B100</f>
        <v>59</v>
      </c>
      <c r="BB2" s="184">
        <f>Skötselplan!B103</f>
        <v>44381</v>
      </c>
      <c r="BC2" s="184">
        <f>Skötselplan!B115</f>
        <v>10403</v>
      </c>
      <c r="BD2" s="184">
        <f>Skötselplan!C115</f>
        <v>9600</v>
      </c>
      <c r="BE2" s="70">
        <f>Skötselplan!B116</f>
        <v>7.3999999999999996E-2</v>
      </c>
      <c r="BF2" s="70">
        <f>Skötselplan!C116</f>
        <v>8.6999999999999994E-2</v>
      </c>
      <c r="BG2" s="183">
        <f>Skötselplan!B117</f>
        <v>0.77</v>
      </c>
      <c r="BH2" s="183">
        <f>Skötselplan!C117</f>
        <v>0.57499999999999996</v>
      </c>
      <c r="BI2" s="182">
        <f>Skötselplan!B118</f>
        <v>0.33100000000000002</v>
      </c>
      <c r="BJ2" s="182">
        <f>Skötselplan!C118</f>
        <v>0.30299999999999999</v>
      </c>
      <c r="BK2" s="180">
        <f>Skötselplan!B125</f>
        <v>0</v>
      </c>
      <c r="BL2" s="180">
        <f>Skötselplan!C125</f>
        <v>0</v>
      </c>
      <c r="BM2" s="180">
        <f>Skötselplan!D125</f>
        <v>0</v>
      </c>
      <c r="BN2" s="180">
        <f>Skötselplan!E125</f>
        <v>0</v>
      </c>
      <c r="BO2" s="180">
        <f>Skötselplan!F125</f>
        <v>0</v>
      </c>
      <c r="BP2" s="180">
        <f>Skötselplan!G125</f>
        <v>2892</v>
      </c>
      <c r="BQ2" s="180">
        <f>Skötselplan!B126</f>
        <v>0</v>
      </c>
      <c r="BR2" s="180">
        <f>Skötselplan!C126</f>
        <v>0</v>
      </c>
      <c r="BS2" s="180">
        <f>Skötselplan!D126</f>
        <v>0</v>
      </c>
      <c r="BT2" s="180">
        <f>Skötselplan!E126</f>
        <v>0</v>
      </c>
      <c r="BU2" s="180">
        <f>Skötselplan!F126</f>
        <v>0</v>
      </c>
      <c r="BV2" s="180">
        <f>Skötselplan!G126</f>
        <v>0</v>
      </c>
      <c r="BW2" s="180">
        <f>Skötselplan!B127</f>
        <v>0</v>
      </c>
      <c r="BX2" s="180">
        <f>Skötselplan!C127</f>
        <v>0</v>
      </c>
      <c r="BY2" s="180">
        <f>Skötselplan!D127</f>
        <v>0</v>
      </c>
      <c r="BZ2" s="180">
        <f>Skötselplan!E127</f>
        <v>0</v>
      </c>
      <c r="CA2" s="180">
        <f>Skötselplan!F127</f>
        <v>0</v>
      </c>
      <c r="CB2" s="180">
        <f>Skötselplan!G127</f>
        <v>1009</v>
      </c>
      <c r="CC2" s="180">
        <f>Skötselplan!B128</f>
        <v>19</v>
      </c>
      <c r="CD2" s="180">
        <f>Skötselplan!C128</f>
        <v>19</v>
      </c>
      <c r="CE2" s="180">
        <f>Skötselplan!D128</f>
        <v>19</v>
      </c>
      <c r="CF2" s="180">
        <f>Skötselplan!E128</f>
        <v>19</v>
      </c>
      <c r="CG2" s="180">
        <f>Skötselplan!F128</f>
        <v>19</v>
      </c>
      <c r="CH2" s="180">
        <f>Skötselplan!G128</f>
        <v>19</v>
      </c>
      <c r="CI2" s="180">
        <f>Skötselplan!B143</f>
        <v>0</v>
      </c>
      <c r="CJ2" s="180">
        <f>Skötselplan!C143</f>
        <v>0</v>
      </c>
      <c r="CK2" s="180">
        <f>Skötselplan!D143</f>
        <v>0</v>
      </c>
      <c r="CL2" s="180">
        <f>Skötselplan!E143</f>
        <v>0</v>
      </c>
      <c r="CM2" s="180">
        <f>Skötselplan!F143</f>
        <v>0</v>
      </c>
      <c r="CN2" s="180">
        <f>Skötselplan!B144</f>
        <v>69</v>
      </c>
      <c r="CO2" s="180">
        <f>Skötselplan!C144</f>
        <v>67</v>
      </c>
      <c r="CP2" s="180">
        <f>Skötselplan!D144</f>
        <v>66</v>
      </c>
      <c r="CQ2" s="180">
        <f>Skötselplan!E144</f>
        <v>71</v>
      </c>
      <c r="CR2" s="180">
        <f>Skötselplan!F144</f>
        <v>66</v>
      </c>
      <c r="CS2" s="180">
        <f>Skötselplan!B145</f>
        <v>68.7</v>
      </c>
      <c r="CT2" s="180">
        <f>Skötselplan!C145</f>
        <v>66.8</v>
      </c>
      <c r="CU2" s="180">
        <f>Skötselplan!D145</f>
        <v>66.400000000000006</v>
      </c>
      <c r="CV2" s="180">
        <f>Skötselplan!E145</f>
        <v>70.7</v>
      </c>
      <c r="CW2" s="180">
        <f>Skötselplan!F145</f>
        <v>66.3</v>
      </c>
      <c r="CX2" s="180">
        <f>Skötselplan!B161</f>
        <v>4</v>
      </c>
      <c r="CY2" s="180">
        <f>Skötselplan!C161</f>
        <v>3</v>
      </c>
      <c r="CZ2" s="180">
        <f>Skötselplan!D161</f>
        <v>2</v>
      </c>
      <c r="DA2" s="180">
        <f>Skötselplan!E161</f>
        <v>3</v>
      </c>
      <c r="DB2" s="180">
        <f>Skötselplan!F161</f>
        <v>6</v>
      </c>
      <c r="DC2" s="180">
        <f>Skötselplan!B162</f>
        <v>3</v>
      </c>
      <c r="DD2" s="180">
        <f>Skötselplan!C162</f>
        <v>2</v>
      </c>
      <c r="DE2" s="180">
        <f>Skötselplan!D162</f>
        <v>3</v>
      </c>
      <c r="DF2" s="180">
        <f>Skötselplan!E162</f>
        <v>3</v>
      </c>
      <c r="DG2" s="180">
        <f>Skötselplan!F162</f>
        <v>2</v>
      </c>
      <c r="DH2" s="180">
        <f>Skötselplan!B170</f>
        <v>0</v>
      </c>
      <c r="DI2" s="180">
        <f>Skötselplan!C170</f>
        <v>0</v>
      </c>
      <c r="DJ2" s="180">
        <f>Skötselplan!D170</f>
        <v>0</v>
      </c>
      <c r="DK2" s="180">
        <f>Skötselplan!E170</f>
        <v>0</v>
      </c>
      <c r="DL2" s="180">
        <f>Skötselplan!F170</f>
        <v>0</v>
      </c>
      <c r="DM2" s="70">
        <f>Skötselplan!B176</f>
        <v>0</v>
      </c>
      <c r="DN2" s="70">
        <f>Skötselplan!C176</f>
        <v>0</v>
      </c>
      <c r="DO2" s="70">
        <f>Skötselplan!D176</f>
        <v>0</v>
      </c>
      <c r="DP2" s="180">
        <f>Skötselplan!B177</f>
        <v>0</v>
      </c>
      <c r="DQ2" s="180">
        <f>Skötselplan!C177</f>
        <v>0</v>
      </c>
      <c r="DR2" s="180">
        <f>Skötselplan!D177</f>
        <v>0</v>
      </c>
      <c r="DS2" s="180">
        <f>Skötselplan!B178</f>
        <v>0</v>
      </c>
      <c r="DT2" s="180">
        <f>Skötselplan!C178</f>
        <v>0</v>
      </c>
      <c r="DU2" s="180">
        <f>Skötselplan!D178</f>
        <v>0</v>
      </c>
      <c r="DV2" s="180">
        <f>Skötselplan!B179</f>
        <v>0</v>
      </c>
      <c r="DW2" s="180">
        <f>Skötselplan!C179</f>
        <v>0</v>
      </c>
      <c r="DX2" s="180">
        <f>Skötselplan!D179</f>
        <v>0</v>
      </c>
      <c r="DY2" s="180">
        <f>Skötselplan!B180</f>
        <v>0</v>
      </c>
      <c r="DZ2" s="180">
        <f>Skötselplan!C180</f>
        <v>0</v>
      </c>
      <c r="EA2" s="180">
        <f>Skötselplan!D180</f>
        <v>0</v>
      </c>
      <c r="EB2" s="70" t="b">
        <v>1</v>
      </c>
      <c r="EC2" s="70" t="b">
        <v>0</v>
      </c>
      <c r="ED2" s="70" t="b">
        <v>0</v>
      </c>
      <c r="EE2" s="70">
        <f>Skötselplan!B190</f>
        <v>7</v>
      </c>
      <c r="EF2" s="70">
        <f>Skötselplan!C190</f>
        <v>9</v>
      </c>
      <c r="EG2" s="70">
        <f>Skötselplan!D190</f>
        <v>7</v>
      </c>
      <c r="EH2" s="70">
        <f>Skötselplan!E190</f>
        <v>8</v>
      </c>
      <c r="EI2" s="70">
        <f>Skötselplan!F190</f>
        <v>9</v>
      </c>
      <c r="EJ2" s="180"/>
      <c r="EK2" s="180"/>
      <c r="EL2" s="70" t="b">
        <v>0</v>
      </c>
      <c r="EM2" s="70" t="b">
        <v>0</v>
      </c>
      <c r="EN2" s="70" t="b">
        <v>1</v>
      </c>
      <c r="EO2" s="70" t="b">
        <v>0</v>
      </c>
      <c r="EP2" s="70" t="b">
        <v>0</v>
      </c>
      <c r="EQ2" s="70" t="b">
        <v>1</v>
      </c>
      <c r="ER2" s="70" t="b">
        <v>0</v>
      </c>
      <c r="ES2" s="70" t="b">
        <v>0</v>
      </c>
      <c r="ET2" s="70" t="b">
        <v>1</v>
      </c>
      <c r="EU2" s="70" t="b">
        <v>0</v>
      </c>
      <c r="EV2" s="70" t="b">
        <v>1</v>
      </c>
      <c r="EW2" s="70" t="b">
        <v>0</v>
      </c>
      <c r="EX2" s="70" t="b">
        <v>1</v>
      </c>
      <c r="EY2" s="70" t="b">
        <v>1</v>
      </c>
      <c r="EZ2" s="180">
        <f>Skötselplan!D208</f>
        <v>2017</v>
      </c>
      <c r="FA2" s="70" t="b">
        <v>0</v>
      </c>
      <c r="FB2" s="180">
        <f>Skötselplan!D209</f>
        <v>0</v>
      </c>
      <c r="FC2" s="180">
        <f>Skötselplan!F209</f>
        <v>0</v>
      </c>
      <c r="FD2" s="76">
        <f>Skötselplan!$B$210</f>
        <v>0</v>
      </c>
      <c r="FE2" s="184">
        <f>Skötselplan!B219</f>
        <v>13226</v>
      </c>
      <c r="FF2" s="184">
        <f>Skötselplan!C219</f>
        <v>13157</v>
      </c>
      <c r="FG2" s="184">
        <f>Skötselplan!D219</f>
        <v>13280</v>
      </c>
      <c r="FH2" s="184">
        <f>Skötselplan!E219</f>
        <v>13469</v>
      </c>
      <c r="FI2" s="184">
        <f>Skötselplan!F219</f>
        <v>13693</v>
      </c>
      <c r="FJ2" s="184">
        <f>Skötselplan!G219</f>
        <v>13951</v>
      </c>
      <c r="FK2" s="184">
        <f>Skötselplan!H219</f>
        <v>0</v>
      </c>
      <c r="FL2" s="182">
        <f>Skötselplan!C220</f>
        <v>0</v>
      </c>
      <c r="FM2" s="182">
        <f>Skötselplan!D220</f>
        <v>0.55000000000000004</v>
      </c>
      <c r="FN2" s="182">
        <f>Skötselplan!E220</f>
        <v>0</v>
      </c>
      <c r="FO2" s="70" t="b">
        <v>1</v>
      </c>
      <c r="FP2" s="70" t="b">
        <v>0</v>
      </c>
      <c r="FQ2" s="70" t="b">
        <v>0</v>
      </c>
      <c r="FR2" s="70" t="str">
        <f>Skötselplan!B226</f>
        <v>Välj i lista</v>
      </c>
      <c r="FS2" s="182">
        <f>Skötselplan!E226</f>
        <v>7.0000000000000007E-2</v>
      </c>
      <c r="FT2" s="182">
        <f>Skötselplan!F226</f>
        <v>0</v>
      </c>
      <c r="FU2" s="182">
        <f>Skötselplan!G226</f>
        <v>0.21</v>
      </c>
      <c r="FV2" s="182">
        <f>Skötselplan!H226</f>
        <v>0</v>
      </c>
      <c r="FW2" s="70" t="str">
        <f>Skötselplan!B227</f>
        <v>Välj i lista</v>
      </c>
      <c r="FX2" s="70">
        <f>Skötselplan!C227</f>
        <v>0</v>
      </c>
      <c r="FY2" s="70">
        <f>Skötselplan!D227</f>
        <v>0</v>
      </c>
      <c r="FZ2" s="70">
        <f>Skötselplan!E227</f>
        <v>0</v>
      </c>
      <c r="GA2" s="70">
        <f>Skötselplan!F227</f>
        <v>0</v>
      </c>
      <c r="GB2" s="70" t="str">
        <f>Skötselplan!B228</f>
        <v>Välj i lista</v>
      </c>
      <c r="GC2" s="70">
        <f>Skötselplan!C228</f>
        <v>0</v>
      </c>
      <c r="GD2" s="70">
        <f>Skötselplan!D228</f>
        <v>0</v>
      </c>
      <c r="GE2" s="70">
        <f>Skötselplan!E228</f>
        <v>0</v>
      </c>
      <c r="GF2" s="70">
        <f>Skötselplan!F228</f>
        <v>0</v>
      </c>
      <c r="GG2" s="70" t="str">
        <f>Skötselplan!B229</f>
        <v>Välj i lista</v>
      </c>
      <c r="GH2" s="70">
        <f>Skötselplan!C229</f>
        <v>0</v>
      </c>
      <c r="GI2" s="70">
        <f>Skötselplan!D229</f>
        <v>0</v>
      </c>
      <c r="GJ2" s="70">
        <f>Skötselplan!E229</f>
        <v>0</v>
      </c>
      <c r="GK2" s="70">
        <f>Skötselplan!F229</f>
        <v>0</v>
      </c>
      <c r="GL2" s="70" t="b">
        <v>0</v>
      </c>
      <c r="GM2" s="70" t="b">
        <v>1</v>
      </c>
      <c r="GN2" s="70" t="b">
        <v>1</v>
      </c>
      <c r="GO2" s="70" t="b">
        <v>0</v>
      </c>
      <c r="GP2" s="70" t="str">
        <f>Skötselplan!D237</f>
        <v>Välj i lista</v>
      </c>
      <c r="GQ2" s="70" t="str">
        <f>Skötselplan!E237</f>
        <v>Välj i lista</v>
      </c>
      <c r="GR2" s="70" t="str">
        <f>Skötselplan!F237</f>
        <v>Välj i lista</v>
      </c>
      <c r="GS2" s="76">
        <f>Skötselplan!B239</f>
        <v>0</v>
      </c>
      <c r="GT2" s="70" t="b">
        <v>1</v>
      </c>
      <c r="GU2" s="70" t="b">
        <v>0</v>
      </c>
      <c r="GV2" s="76">
        <f>Skötselplan!A250</f>
        <v>0</v>
      </c>
      <c r="GW2" s="180">
        <f>Skötselplan!B255</f>
        <v>0</v>
      </c>
      <c r="GX2" s="180">
        <f>Skötselplan!C255</f>
        <v>0</v>
      </c>
      <c r="GY2" s="180">
        <f>Skötselplan!D255</f>
        <v>0</v>
      </c>
      <c r="GZ2" s="180">
        <f>Skötselplan!B256</f>
        <v>0</v>
      </c>
      <c r="HA2" s="180">
        <f>Skötselplan!C256</f>
        <v>0</v>
      </c>
      <c r="HB2" s="180">
        <f>Skötselplan!D256</f>
        <v>0</v>
      </c>
      <c r="HC2" s="180">
        <f>Skötselplan!B257</f>
        <v>0</v>
      </c>
      <c r="HD2" s="180">
        <f>Skötselplan!C257</f>
        <v>0</v>
      </c>
      <c r="HE2" s="180">
        <f>Skötselplan!D257</f>
        <v>0</v>
      </c>
      <c r="HF2" s="180">
        <f>Skötselplan!B267</f>
        <v>0</v>
      </c>
      <c r="HG2" s="180">
        <f>Skötselplan!C267</f>
        <v>0</v>
      </c>
      <c r="HH2" s="180">
        <f>Skötselplan!D267</f>
        <v>0</v>
      </c>
      <c r="HI2" s="180">
        <f>Skötselplan!B265</f>
        <v>0</v>
      </c>
      <c r="HJ2" s="180">
        <f>Skötselplan!C265</f>
        <v>0</v>
      </c>
      <c r="HK2" s="180">
        <f>Skötselplan!D265</f>
        <v>0</v>
      </c>
      <c r="HL2" s="180">
        <f>Skötselplan!B266</f>
        <v>0</v>
      </c>
      <c r="HM2" s="180">
        <f>Skötselplan!C266</f>
        <v>0</v>
      </c>
      <c r="HN2" s="180">
        <f>Skötselplan!D266</f>
        <v>0</v>
      </c>
      <c r="HO2" s="180">
        <f>Skötselplan!B267</f>
        <v>0</v>
      </c>
      <c r="HP2" s="180">
        <f>Skötselplan!C267</f>
        <v>0</v>
      </c>
      <c r="HQ2" s="180">
        <f>Skötselplan!D267</f>
        <v>0</v>
      </c>
      <c r="HR2" s="76" t="str">
        <f>Skötselplan!A274</f>
        <v>Hålnan</v>
      </c>
      <c r="HS2" s="76">
        <f>Skötselplan!B274</f>
        <v>0.33</v>
      </c>
      <c r="HT2" s="76">
        <f>Skötselplan!C274</f>
        <v>120</v>
      </c>
      <c r="HU2" s="180">
        <f>Skötselplan!A275</f>
        <v>0</v>
      </c>
      <c r="HV2" s="180">
        <f>Skötselplan!B275</f>
        <v>0</v>
      </c>
      <c r="HW2" s="180">
        <f>Skötselplan!C275</f>
        <v>0</v>
      </c>
      <c r="HX2" s="76">
        <f>Skötselplan!A276</f>
        <v>0</v>
      </c>
      <c r="HY2" s="76">
        <f>Skötselplan!B276</f>
        <v>0</v>
      </c>
      <c r="HZ2" s="76">
        <f>Skötselplan!C276</f>
        <v>0</v>
      </c>
      <c r="IA2" s="76">
        <f>Skötselplan!A277</f>
        <v>0</v>
      </c>
      <c r="IB2" s="76">
        <f>Skötselplan!B277</f>
        <v>0</v>
      </c>
      <c r="IC2" s="76">
        <f>Skötselplan!C277</f>
        <v>0</v>
      </c>
      <c r="ID2" s="76">
        <f>Skötselplan!A278</f>
        <v>0</v>
      </c>
      <c r="IE2" s="76">
        <f>Skötselplan!B278</f>
        <v>0</v>
      </c>
      <c r="IF2" s="76">
        <f>Skötselplan!C278</f>
        <v>0</v>
      </c>
      <c r="IG2" s="70">
        <f>Skötselplan!A282</f>
        <v>15</v>
      </c>
      <c r="IH2" s="183">
        <f>Skötselplan!C282</f>
        <v>7.3</v>
      </c>
      <c r="II2" s="70" t="str">
        <f>Skötselplan!$E294</f>
        <v>Välj i lista</v>
      </c>
      <c r="IJ2" s="70" t="str">
        <f>Skötselplan!$E295</f>
        <v>Välj i lista</v>
      </c>
      <c r="IK2" s="70" t="str">
        <f>Skötselplan!$E296</f>
        <v>Välj i lista</v>
      </c>
      <c r="IL2" s="70" t="str">
        <f>Skötselplan!$E297</f>
        <v>Välj i lista</v>
      </c>
      <c r="IM2" s="70" t="str">
        <f>Skötselplan!$E298</f>
        <v>Välj i lista</v>
      </c>
      <c r="IN2" s="70" t="str">
        <f>Skötselplan!$E299</f>
        <v>Välj i lista</v>
      </c>
      <c r="IO2" s="70" t="str">
        <f>Skötselplan!$E300</f>
        <v>Välj i lista</v>
      </c>
      <c r="IP2" s="70" t="str">
        <f>Skötselplan!$E301</f>
        <v>Välj i lista</v>
      </c>
      <c r="IQ2" s="70" t="str">
        <f>Skötselplan!$E302</f>
        <v>Välj i lista</v>
      </c>
      <c r="IR2" s="70" t="str">
        <f>Skötselplan!$E303</f>
        <v>Välj i lista</v>
      </c>
      <c r="IS2" s="70" t="str">
        <f>Skötselplan!$E304</f>
        <v>Välj i lista</v>
      </c>
      <c r="IT2" s="70" t="str">
        <f>Skötselplan!$E305</f>
        <v>Välj i lista</v>
      </c>
      <c r="IU2" s="76">
        <f>Skötselplan!F294</f>
        <v>0</v>
      </c>
      <c r="IV2" s="76">
        <f>Skötselplan!F295</f>
        <v>0</v>
      </c>
      <c r="IW2" s="76">
        <f>Skötselplan!F296</f>
        <v>0</v>
      </c>
      <c r="IX2" s="76">
        <f>Skötselplan!F297</f>
        <v>0</v>
      </c>
      <c r="IY2" s="76">
        <f>Skötselplan!F298</f>
        <v>0</v>
      </c>
      <c r="IZ2" s="76">
        <f>Skötselplan!F299</f>
        <v>0</v>
      </c>
      <c r="JA2" s="76">
        <f>Skötselplan!F300</f>
        <v>0</v>
      </c>
      <c r="JB2" s="76">
        <f>Skötselplan!F301</f>
        <v>0</v>
      </c>
      <c r="JC2" s="76">
        <f>Skötselplan!F302</f>
        <v>0</v>
      </c>
      <c r="JD2" s="76">
        <f>Skötselplan!F303</f>
        <v>0</v>
      </c>
      <c r="JE2" s="76">
        <f>Skötselplan!F304</f>
        <v>0</v>
      </c>
      <c r="JF2" s="76">
        <f>Skötselplan!F305</f>
        <v>0</v>
      </c>
      <c r="JG2" s="180">
        <f>Skötselplan!B313</f>
        <v>31</v>
      </c>
      <c r="JH2" s="180">
        <f>Skötselplan!C313</f>
        <v>31</v>
      </c>
      <c r="JI2" s="180">
        <f>Skötselplan!D313</f>
        <v>31</v>
      </c>
      <c r="JJ2" s="180">
        <f>Skötselplan!B314</f>
        <v>31</v>
      </c>
      <c r="JK2" s="180">
        <f>Skötselplan!C314</f>
        <v>31</v>
      </c>
      <c r="JL2" s="180">
        <f>Skötselplan!D314</f>
        <v>31</v>
      </c>
      <c r="JM2" s="180">
        <f>Skötselplan!B315</f>
        <v>62</v>
      </c>
      <c r="JN2" s="180">
        <f>Skötselplan!C315</f>
        <v>62</v>
      </c>
      <c r="JO2" s="180">
        <f>Skötselplan!D315</f>
        <v>62</v>
      </c>
      <c r="JP2" s="70" t="b">
        <v>1</v>
      </c>
      <c r="JQ2" s="70" t="b">
        <v>0</v>
      </c>
      <c r="JS2" s="182"/>
      <c r="JT2" s="182"/>
      <c r="JU2" s="182"/>
      <c r="JV2" s="180"/>
      <c r="JW2" s="180"/>
      <c r="JX2" s="70" t="b">
        <v>1</v>
      </c>
      <c r="JY2" s="70" t="b">
        <v>0</v>
      </c>
      <c r="JZ2" s="70" t="b">
        <v>0</v>
      </c>
      <c r="KA2" s="70" t="b">
        <v>1</v>
      </c>
      <c r="KB2" s="70" t="b">
        <v>0</v>
      </c>
      <c r="KC2" s="70" t="b">
        <v>0</v>
      </c>
      <c r="KD2" s="70" t="b">
        <v>0</v>
      </c>
      <c r="KE2" s="70" t="b">
        <v>0</v>
      </c>
      <c r="KF2" s="70" t="b">
        <v>0</v>
      </c>
      <c r="KG2" s="70" t="b">
        <v>1</v>
      </c>
      <c r="KH2" s="70" t="b">
        <v>0</v>
      </c>
      <c r="KI2" s="70" t="b">
        <v>0</v>
      </c>
      <c r="KJ2" s="70" t="b">
        <v>1</v>
      </c>
      <c r="KK2" s="70" t="b">
        <v>0</v>
      </c>
      <c r="KL2" s="70" t="b">
        <v>0</v>
      </c>
      <c r="KM2" s="70" t="b">
        <v>1</v>
      </c>
      <c r="KN2" s="70" t="b">
        <v>0</v>
      </c>
      <c r="KO2" s="70" t="b">
        <v>0</v>
      </c>
      <c r="KP2" s="70" t="b">
        <v>1</v>
      </c>
      <c r="KQ2" s="70" t="b">
        <v>0</v>
      </c>
      <c r="KR2" s="70" t="b">
        <v>0</v>
      </c>
      <c r="KS2" s="70">
        <f>Skötselplan!B359</f>
        <v>0</v>
      </c>
      <c r="KT2" s="70">
        <f>Skötselplan!C359</f>
        <v>0</v>
      </c>
      <c r="KU2" s="70">
        <f>Skötselplan!D359</f>
        <v>0</v>
      </c>
      <c r="KV2" s="182">
        <f>Skötselplan!B360</f>
        <v>0</v>
      </c>
      <c r="KW2" s="182">
        <f>Skötselplan!C360</f>
        <v>0</v>
      </c>
      <c r="KX2" s="182">
        <f>Skötselplan!D360</f>
        <v>0</v>
      </c>
      <c r="KY2" s="183">
        <f>Skötselplan!B361</f>
        <v>0</v>
      </c>
      <c r="KZ2" s="183">
        <f>Skötselplan!C361</f>
        <v>0</v>
      </c>
      <c r="LA2" s="183">
        <f>Skötselplan!D361</f>
        <v>0</v>
      </c>
      <c r="LB2" s="182">
        <f>Skötselplan!B362</f>
        <v>0</v>
      </c>
      <c r="LC2" s="182">
        <f>Skötselplan!C362</f>
        <v>0</v>
      </c>
      <c r="LD2" s="182">
        <f>Skötselplan!D362</f>
        <v>0</v>
      </c>
      <c r="LE2" s="70" t="b">
        <v>1</v>
      </c>
      <c r="LF2" s="70" t="b">
        <v>1</v>
      </c>
      <c r="LG2" s="70" t="b">
        <v>1</v>
      </c>
      <c r="LH2" s="70" t="b">
        <v>1</v>
      </c>
      <c r="LI2" s="76" t="str">
        <f>Skötselplan!B64</f>
        <v>Betesskador</v>
      </c>
      <c r="LJ2" s="76">
        <f>Skötselplan!A109</f>
        <v>0</v>
      </c>
      <c r="LK2" s="76">
        <f>Skötselplan!A110</f>
        <v>0</v>
      </c>
      <c r="LL2" s="76">
        <f>Skötselplan!A120</f>
        <v>0</v>
      </c>
      <c r="LM2" s="76">
        <f>Skötselplan!A121</f>
        <v>0</v>
      </c>
      <c r="LN2" s="76">
        <f>Skötselplan!A135</f>
        <v>0</v>
      </c>
      <c r="LO2" s="76">
        <f>Skötselplan!A136</f>
        <v>0</v>
      </c>
      <c r="LP2" s="76">
        <f>Skötselplan!A147</f>
        <v>0</v>
      </c>
      <c r="LQ2" s="76">
        <f>Skötselplan!A148</f>
        <v>0</v>
      </c>
      <c r="LR2" s="76">
        <f>Skötselplan!A156</f>
        <v>0</v>
      </c>
      <c r="LS2" s="76">
        <f>Skötselplan!A157</f>
        <v>0</v>
      </c>
      <c r="LT2" s="76">
        <f>Skötselplan!C164</f>
        <v>0</v>
      </c>
      <c r="LU2" s="76">
        <f>Skötselplan!C165</f>
        <v>0</v>
      </c>
      <c r="LV2" s="76">
        <f>Skötselplan!A172</f>
        <v>0</v>
      </c>
      <c r="LW2" s="76">
        <f>Skötselplan!A173</f>
        <v>0</v>
      </c>
      <c r="LX2" s="76">
        <f>Skötselplan!C182</f>
        <v>0</v>
      </c>
      <c r="LY2" s="76">
        <f>Skötselplan!A183</f>
        <v>0</v>
      </c>
      <c r="LZ2" s="76">
        <f>Skötselplan!A241</f>
        <v>0</v>
      </c>
      <c r="MA2" s="76">
        <f>Skötselplan!A242</f>
        <v>0</v>
      </c>
      <c r="MB2" s="76">
        <f>Skötselplan!A243</f>
        <v>0</v>
      </c>
      <c r="MC2" s="76">
        <f>Skötselplan!A244</f>
        <v>0</v>
      </c>
      <c r="MD2" s="76">
        <f>Skötselplan!A323</f>
        <v>0</v>
      </c>
      <c r="ME2" s="76">
        <f>Skötselplan!A324</f>
        <v>0</v>
      </c>
      <c r="MF2" s="76"/>
      <c r="MG2" s="76"/>
      <c r="MH2" s="76">
        <f>Skötselplan!A336</f>
        <v>0</v>
      </c>
      <c r="MI2" s="76">
        <f>Skötselplan!A337</f>
        <v>0</v>
      </c>
      <c r="MJ2" s="70" t="str">
        <f>Skötselplan!A350</f>
        <v>Jan Henriksson</v>
      </c>
      <c r="MK2" s="70">
        <f>Skötselplan!A358</f>
        <v>0</v>
      </c>
      <c r="ML2" s="70">
        <f>Skötselplan!D352</f>
        <v>0</v>
      </c>
      <c r="MM2" s="70">
        <f>Skötselplan!D353</f>
        <v>0</v>
      </c>
      <c r="MN2" s="70">
        <f>Skötselplan!A360</f>
        <v>0</v>
      </c>
      <c r="MO2" s="70">
        <f>Skötselplan!A361</f>
        <v>0</v>
      </c>
      <c r="MP2" s="70">
        <f>Skötselplan!A362</f>
        <v>0</v>
      </c>
      <c r="MQ2" s="70"/>
    </row>
    <row r="3" spans="1:355" s="76" customFormat="1" x14ac:dyDescent="0.3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4"/>
  <dimension ref="A1:M210"/>
  <sheetViews>
    <sheetView zoomScale="85" zoomScaleNormal="85" zoomScalePageLayoutView="85" workbookViewId="0">
      <selection activeCell="E150" sqref="E150 E150"/>
    </sheetView>
  </sheetViews>
  <sheetFormatPr defaultColWidth="9.109375" defaultRowHeight="13.2" x14ac:dyDescent="0.25"/>
  <cols>
    <col min="1" max="1" width="29.5546875" style="185" customWidth="1"/>
    <col min="2" max="6" width="14.6640625" style="185" customWidth="1"/>
    <col min="7" max="7" width="13.33203125" style="185" bestFit="1" customWidth="1"/>
    <col min="8" max="8" width="12.5546875" style="185" bestFit="1" customWidth="1"/>
    <col min="9" max="9" width="13.88671875" style="185" customWidth="1"/>
    <col min="10" max="10" width="9.109375" style="185" customWidth="1"/>
    <col min="11" max="11" width="11.109375" style="185" customWidth="1"/>
    <col min="12" max="12" width="9.109375" style="185" customWidth="1"/>
    <col min="13" max="13" width="103.109375" style="185" bestFit="1" customWidth="1"/>
    <col min="14" max="14" width="9.109375" style="185" customWidth="1"/>
    <col min="15" max="16384" width="9.109375" style="185"/>
  </cols>
  <sheetData>
    <row r="1" spans="1:13" s="70" customFormat="1" ht="20.25" customHeight="1" x14ac:dyDescent="0.4">
      <c r="A1" s="351" t="s">
        <v>706</v>
      </c>
      <c r="B1" s="351"/>
      <c r="C1" s="351"/>
      <c r="D1" s="351"/>
      <c r="E1" s="186" t="str">
        <f>IF(Skötselplan!C1&gt;0,Skötselplan!C1,"")</f>
        <v>GARPENBERGS ÄLGSKÖTSELOMRÅDE</v>
      </c>
      <c r="F1" s="187"/>
      <c r="M1" s="188" t="s">
        <v>707</v>
      </c>
    </row>
    <row r="2" spans="1:13" x14ac:dyDescent="0.25">
      <c r="A2" s="187" t="s">
        <v>708</v>
      </c>
    </row>
    <row r="4" spans="1:13" s="70" customFormat="1" ht="15" customHeight="1" x14ac:dyDescent="0.3">
      <c r="A4" s="83" t="s">
        <v>709</v>
      </c>
      <c r="B4" s="93"/>
      <c r="C4" s="93"/>
      <c r="D4" s="93"/>
    </row>
    <row r="5" spans="1:13" x14ac:dyDescent="0.25">
      <c r="A5" s="127" t="s">
        <v>116</v>
      </c>
      <c r="B5" s="93"/>
      <c r="C5" s="93"/>
      <c r="D5" s="93"/>
    </row>
    <row r="6" spans="1:13" s="70" customFormat="1" ht="15" customHeight="1" x14ac:dyDescent="0.3">
      <c r="A6" s="54" t="s">
        <v>118</v>
      </c>
      <c r="B6" s="5">
        <f>Skötselplan!B97</f>
        <v>2014</v>
      </c>
      <c r="C6" s="5">
        <f>Skötselplan!C97</f>
        <v>2015</v>
      </c>
      <c r="D6" s="5">
        <f>Skötselplan!D97</f>
        <v>2016</v>
      </c>
      <c r="E6" s="5" t="s">
        <v>209</v>
      </c>
      <c r="M6" s="189" t="str">
        <f>Skötselplan!A93</f>
        <v>2.1 Uppgifter om älgstammen inom älgskötselområdet</v>
      </c>
    </row>
    <row r="7" spans="1:13" s="70" customFormat="1" ht="15" customHeight="1" x14ac:dyDescent="0.3">
      <c r="A7" s="190" t="s">
        <v>75</v>
      </c>
      <c r="B7" s="191">
        <f>Skötselplan!B98</f>
        <v>32</v>
      </c>
      <c r="C7" s="191">
        <f>Skötselplan!C98</f>
        <v>31</v>
      </c>
      <c r="D7" s="191">
        <f>Skötselplan!D98</f>
        <v>31</v>
      </c>
      <c r="E7" s="5">
        <f>SUM(B7:D7)</f>
        <v>94</v>
      </c>
    </row>
    <row r="8" spans="1:13" s="70" customFormat="1" ht="15" customHeight="1" x14ac:dyDescent="0.3">
      <c r="A8" s="190" t="s">
        <v>120</v>
      </c>
      <c r="B8" s="191">
        <f>Skötselplan!B99</f>
        <v>19</v>
      </c>
      <c r="C8" s="191">
        <f>Skötselplan!C99</f>
        <v>30</v>
      </c>
      <c r="D8" s="191">
        <f>Skötselplan!D99</f>
        <v>25</v>
      </c>
      <c r="E8" s="5">
        <f>SUM(B8:D8)</f>
        <v>74</v>
      </c>
    </row>
    <row r="9" spans="1:13" s="70" customFormat="1" ht="15" customHeight="1" x14ac:dyDescent="0.3">
      <c r="A9" s="190" t="s">
        <v>79</v>
      </c>
      <c r="B9" s="191">
        <f>Skötselplan!B100</f>
        <v>59</v>
      </c>
      <c r="C9" s="191">
        <f>Skötselplan!C100</f>
        <v>68</v>
      </c>
      <c r="D9" s="191">
        <f>Skötselplan!D100</f>
        <v>57</v>
      </c>
      <c r="E9" s="5">
        <f>SUM(B9:D9)</f>
        <v>184</v>
      </c>
    </row>
    <row r="10" spans="1:13" s="70" customFormat="1" ht="15" customHeight="1" x14ac:dyDescent="0.3">
      <c r="A10" s="190" t="s">
        <v>81</v>
      </c>
      <c r="B10" s="34">
        <f>IF(B7+B8+B9&gt;0,SUM(B7:B9),"")</f>
        <v>110</v>
      </c>
      <c r="C10" s="5">
        <f>IF(C7+C8+C9&gt;0,SUM(C7:C9),"")</f>
        <v>129</v>
      </c>
      <c r="D10" s="5">
        <f>IF(D7+D8+D9&gt;0,SUM(D7:D9),"")</f>
        <v>113</v>
      </c>
      <c r="E10" s="5">
        <f>SUM(B10:D10)</f>
        <v>352</v>
      </c>
    </row>
    <row r="11" spans="1:13" s="70" customFormat="1" ht="15" customHeight="1" x14ac:dyDescent="0.3">
      <c r="A11" s="190" t="s">
        <v>710</v>
      </c>
      <c r="B11" s="192">
        <f>Skötselplan!B103</f>
        <v>44381</v>
      </c>
      <c r="C11" s="192">
        <f>Skötselplan!C103</f>
        <v>44381</v>
      </c>
      <c r="D11" s="192">
        <f>Skötselplan!D103</f>
        <v>44370</v>
      </c>
      <c r="E11" s="5" t="s">
        <v>711</v>
      </c>
    </row>
    <row r="12" spans="1:13" s="70" customFormat="1" ht="15" customHeight="1" x14ac:dyDescent="0.3">
      <c r="A12" s="190" t="s">
        <v>122</v>
      </c>
      <c r="B12" s="32">
        <f>IF(B7+B8+B9&gt;0,B10/B11*1000,"")</f>
        <v>2.4785381131565307</v>
      </c>
      <c r="C12" s="32">
        <f>IF(C7+C8+C9&gt;0,C10/C11*1000,"")</f>
        <v>2.906649241792659</v>
      </c>
      <c r="D12" s="32">
        <f>IF(D7+D8+D9&gt;0,D10/D11*1000,"")</f>
        <v>2.5467658327698892</v>
      </c>
      <c r="E12" s="32">
        <f>IF(E10&gt;0,AVERAGE(B12:D12),0)</f>
        <v>2.6439843959063598</v>
      </c>
    </row>
    <row r="13" spans="1:13" x14ac:dyDescent="0.25">
      <c r="A13" s="127" t="s">
        <v>712</v>
      </c>
      <c r="B13" s="127"/>
      <c r="C13" s="93"/>
      <c r="D13" s="93"/>
      <c r="E13" s="93"/>
    </row>
    <row r="14" spans="1:13" s="70" customFormat="1" ht="15" customHeight="1" x14ac:dyDescent="0.3">
      <c r="A14" s="54" t="s">
        <v>118</v>
      </c>
      <c r="B14" s="5">
        <f>B6</f>
        <v>2014</v>
      </c>
      <c r="C14" s="5">
        <f>C6</f>
        <v>2015</v>
      </c>
      <c r="D14" s="5">
        <f>D6</f>
        <v>2016</v>
      </c>
    </row>
    <row r="15" spans="1:13" s="70" customFormat="1" ht="15" customHeight="1" x14ac:dyDescent="0.3">
      <c r="A15" s="190" t="s">
        <v>127</v>
      </c>
      <c r="B15" s="33">
        <f>IF(B7+B8&gt;0,B7/(B7+B8),"")</f>
        <v>0.62745098039215685</v>
      </c>
      <c r="C15" s="33">
        <f>IF(C7+C8&gt;0,C7/(C7+C8),"")</f>
        <v>0.50819672131147542</v>
      </c>
      <c r="D15" s="33">
        <f>IF(D7+D8&gt;0,D7/(D7+D8),"")</f>
        <v>0.5535714285714286</v>
      </c>
    </row>
    <row r="16" spans="1:13" s="70" customFormat="1" ht="15" customHeight="1" x14ac:dyDescent="0.3">
      <c r="A16" s="190" t="s">
        <v>129</v>
      </c>
      <c r="B16" s="33">
        <f>IF(B9&gt;0,B9/B10,"")</f>
        <v>0.53636363636363638</v>
      </c>
      <c r="C16" s="33">
        <f>IF(C9&gt;0,C9/C10,"")</f>
        <v>0.52713178294573648</v>
      </c>
      <c r="D16" s="33">
        <f>IF(D9&gt;0,D9/D10,"")</f>
        <v>0.50442477876106195</v>
      </c>
    </row>
    <row r="18" spans="1:13" s="70" customFormat="1" ht="15" customHeight="1" x14ac:dyDescent="0.3">
      <c r="A18" s="83" t="s">
        <v>713</v>
      </c>
    </row>
    <row r="19" spans="1:13" s="70" customFormat="1" ht="15" customHeight="1" x14ac:dyDescent="0.3">
      <c r="A19" s="54" t="s">
        <v>118</v>
      </c>
      <c r="B19" s="5">
        <f>Skötselplan!B264</f>
        <v>2014</v>
      </c>
      <c r="C19" s="5">
        <f>Skötselplan!C264</f>
        <v>2015</v>
      </c>
      <c r="D19" s="5">
        <f>Skötselplan!D264</f>
        <v>2016</v>
      </c>
      <c r="E19" s="5" t="s">
        <v>209</v>
      </c>
      <c r="F19" s="193">
        <f>COUNT(B19:D19)</f>
        <v>3</v>
      </c>
    </row>
    <row r="20" spans="1:13" s="70" customFormat="1" ht="15" customHeight="1" x14ac:dyDescent="0.3">
      <c r="A20" s="190" t="s">
        <v>714</v>
      </c>
      <c r="B20" s="191" t="str">
        <f>Skötselplan!B260</f>
        <v/>
      </c>
      <c r="C20" s="191" t="str">
        <f>Skötselplan!C260</f>
        <v/>
      </c>
      <c r="D20" s="191" t="str">
        <f>Skötselplan!D260</f>
        <v/>
      </c>
      <c r="E20" s="5">
        <f>SUM(B20:D20)</f>
        <v>0</v>
      </c>
      <c r="M20" s="189" t="str">
        <f>Skötselplan!A252</f>
        <v xml:space="preserve">2.4 Redovisning av rapporterade viltolyckor med älg </v>
      </c>
    </row>
    <row r="21" spans="1:13" s="70" customFormat="1" ht="15" customHeight="1" x14ac:dyDescent="0.3">
      <c r="A21" s="190" t="s">
        <v>715</v>
      </c>
      <c r="B21" s="191">
        <f>Skötselplan!F284</f>
        <v>63.892575000000001</v>
      </c>
      <c r="C21" s="191">
        <f>Skötselplan!F284</f>
        <v>63.892575000000001</v>
      </c>
      <c r="D21" s="191">
        <f>Skötselplan!F284</f>
        <v>63.892575000000001</v>
      </c>
      <c r="E21" s="5">
        <f>SUM(B21:D21)</f>
        <v>191.67772500000001</v>
      </c>
      <c r="M21" s="189" t="str">
        <f>Skötselplan!A271</f>
        <v xml:space="preserve">2.6 Redovisning av rovdjursförekomst och predationstryck </v>
      </c>
    </row>
    <row r="22" spans="1:13" s="70" customFormat="1" ht="15" customHeight="1" x14ac:dyDescent="0.3">
      <c r="A22" s="190" t="s">
        <v>716</v>
      </c>
      <c r="B22" s="191" t="str">
        <f>Skötselplan!B269</f>
        <v/>
      </c>
      <c r="C22" s="191" t="str">
        <f>Skötselplan!C269</f>
        <v/>
      </c>
      <c r="D22" s="191" t="str">
        <f>Skötselplan!D269</f>
        <v/>
      </c>
      <c r="E22" s="5">
        <f>SUM(B22:D22)</f>
        <v>0</v>
      </c>
      <c r="M22" s="189" t="str">
        <f>Skötselplan!A263</f>
        <v>2.5 Övrig dödlighet</v>
      </c>
    </row>
    <row r="23" spans="1:13" s="70" customFormat="1" ht="15" customHeight="1" x14ac:dyDescent="0.3">
      <c r="A23" s="190" t="s">
        <v>717</v>
      </c>
      <c r="B23" s="34">
        <f>IF(SUM(B20:B22)&gt;0,SUM(B20:B22),"")</f>
        <v>63.892575000000001</v>
      </c>
      <c r="C23" s="34">
        <f>IF(SUM(C20:C22)&gt;0,SUM(C20:C22),"")</f>
        <v>63.892575000000001</v>
      </c>
      <c r="D23" s="34">
        <f>IF(SUM(D20:D22)&gt;0,SUM(D20:D22),"")</f>
        <v>63.892575000000001</v>
      </c>
      <c r="E23" s="5">
        <f>SUM(B23:D23)</f>
        <v>191.67772500000001</v>
      </c>
    </row>
    <row r="24" spans="1:13" x14ac:dyDescent="0.25">
      <c r="A24" s="35" t="s">
        <v>718</v>
      </c>
    </row>
    <row r="25" spans="1:13" s="70" customFormat="1" ht="15" customHeight="1" x14ac:dyDescent="0.3">
      <c r="A25" s="83" t="s">
        <v>719</v>
      </c>
    </row>
    <row r="26" spans="1:13" s="70" customFormat="1" ht="15" customHeight="1" x14ac:dyDescent="0.3">
      <c r="A26" s="83"/>
    </row>
    <row r="27" spans="1:13" s="70" customFormat="1" ht="15" customHeight="1" x14ac:dyDescent="0.3">
      <c r="A27" s="83" t="s">
        <v>217</v>
      </c>
    </row>
    <row r="28" spans="1:13" x14ac:dyDescent="0.25">
      <c r="A28" s="127" t="s">
        <v>132</v>
      </c>
      <c r="B28" s="93"/>
      <c r="C28" s="93"/>
      <c r="D28" s="93"/>
      <c r="E28" s="93"/>
    </row>
    <row r="29" spans="1:13" s="70" customFormat="1" ht="15" customHeight="1" x14ac:dyDescent="0.3">
      <c r="A29" s="54" t="s">
        <v>118</v>
      </c>
      <c r="B29" s="5">
        <f>Skötselplan!B114</f>
        <v>2013</v>
      </c>
      <c r="C29" s="5">
        <f>Skötselplan!C114</f>
        <v>2014</v>
      </c>
      <c r="D29" s="5">
        <f>Skötselplan!D114</f>
        <v>2015</v>
      </c>
      <c r="E29" s="5">
        <f>Skötselplan!E114</f>
        <v>2016</v>
      </c>
      <c r="F29" s="5" t="s">
        <v>720</v>
      </c>
      <c r="G29" s="193">
        <f>COUNT(B29:E29)</f>
        <v>4</v>
      </c>
      <c r="M29" s="189" t="str">
        <f>Skötselplan!A112</f>
        <v xml:space="preserve">2.1.2 Älgobservationer (älgobs) </v>
      </c>
    </row>
    <row r="30" spans="1:13" s="70" customFormat="1" ht="14.4" customHeight="1" x14ac:dyDescent="0.3">
      <c r="A30" s="190" t="s">
        <v>721</v>
      </c>
      <c r="B30" s="194">
        <f>Skötselplan!B116</f>
        <v>7.3999999999999996E-2</v>
      </c>
      <c r="C30" s="194">
        <f>Skötselplan!C116</f>
        <v>8.6999999999999994E-2</v>
      </c>
      <c r="D30" s="194">
        <f>Skötselplan!D116</f>
        <v>9.0999999999999998E-2</v>
      </c>
      <c r="E30" s="194">
        <f>Skötselplan!E116</f>
        <v>9.5000000000000001E-2</v>
      </c>
      <c r="F30" s="5">
        <f>IF((B30+C30+D30+E30)&gt;0,G30/G$29,0)</f>
        <v>8.6749999999999994E-2</v>
      </c>
      <c r="G30" s="195">
        <f>SUM(B30:E30)</f>
        <v>0.34699999999999998</v>
      </c>
    </row>
    <row r="31" spans="1:13" s="70" customFormat="1" ht="14.4" customHeight="1" x14ac:dyDescent="0.3">
      <c r="A31" s="190" t="s">
        <v>722</v>
      </c>
      <c r="B31" s="196">
        <f>Skötselplan!B117</f>
        <v>0.77</v>
      </c>
      <c r="C31" s="196">
        <f>Skötselplan!C117</f>
        <v>0.57499999999999996</v>
      </c>
      <c r="D31" s="196">
        <f>Skötselplan!D117</f>
        <v>0.63300000000000001</v>
      </c>
      <c r="E31" s="196">
        <f>Skötselplan!E117</f>
        <v>0.68100000000000005</v>
      </c>
      <c r="F31" s="5">
        <f>IF((B31+C31+D31+E31)&gt;0,G31/G$29,0)</f>
        <v>0.66474999999999995</v>
      </c>
      <c r="G31" s="195">
        <f>SUM(B31:E31)</f>
        <v>2.6589999999999998</v>
      </c>
    </row>
    <row r="32" spans="1:13" s="70" customFormat="1" ht="14.4" customHeight="1" x14ac:dyDescent="0.3">
      <c r="A32" s="190" t="s">
        <v>723</v>
      </c>
      <c r="B32" s="197">
        <f>Skötselplan!B118</f>
        <v>0.33100000000000002</v>
      </c>
      <c r="C32" s="197">
        <f>Skötselplan!C118</f>
        <v>0.30299999999999999</v>
      </c>
      <c r="D32" s="197">
        <f>Skötselplan!D118</f>
        <v>0.36399999999999999</v>
      </c>
      <c r="E32" s="197">
        <f>Skötselplan!E118</f>
        <v>0.374</v>
      </c>
      <c r="F32" s="33">
        <f>IF((B32+C32+D32+E32)&gt;0,G32/G$29,0)</f>
        <v>0.34299999999999997</v>
      </c>
      <c r="G32" s="195">
        <f>SUM(B32:E32)</f>
        <v>1.3719999999999999</v>
      </c>
    </row>
    <row r="33" spans="1:13" s="70" customFormat="1" ht="15" customHeight="1" x14ac:dyDescent="0.3">
      <c r="A33" s="93" t="s">
        <v>724</v>
      </c>
      <c r="B33" s="176"/>
      <c r="C33" s="176"/>
      <c r="D33" s="176"/>
      <c r="E33" s="176"/>
      <c r="F33" s="176"/>
    </row>
    <row r="35" spans="1:13" s="70" customFormat="1" ht="14.4" customHeight="1" x14ac:dyDescent="0.3">
      <c r="A35" s="83" t="s">
        <v>725</v>
      </c>
      <c r="B35" s="93"/>
      <c r="C35" s="93"/>
      <c r="D35" s="93"/>
      <c r="E35" s="93"/>
    </row>
    <row r="36" spans="1:13" s="70" customFormat="1" ht="30" customHeight="1" x14ac:dyDescent="0.3">
      <c r="A36" s="54" t="s">
        <v>118</v>
      </c>
      <c r="B36" s="5">
        <f>IF(B37&gt;0,Skötselplan!D124,"")</f>
        <v>2014</v>
      </c>
      <c r="C36" s="5">
        <f>IF(C37&gt;0,Skötselplan!E124,"")</f>
        <v>2015</v>
      </c>
      <c r="D36" s="5">
        <f>IF(D37&gt;0,Skötselplan!F124,"")</f>
        <v>2016</v>
      </c>
      <c r="E36" s="5" t="e">
        <f>IF(E37&gt;0,Skötselplan!G124,"")</f>
        <v>#DIV/0!</v>
      </c>
      <c r="F36" s="36" t="s">
        <v>726</v>
      </c>
      <c r="G36" s="193">
        <f>COUNT(C36:E36)</f>
        <v>2</v>
      </c>
      <c r="M36" s="189" t="str">
        <f>Skötselplan!A123</f>
        <v xml:space="preserve">2.1.3 Spillningsinventering </v>
      </c>
    </row>
    <row r="37" spans="1:13" s="70" customFormat="1" ht="15" customHeight="1" x14ac:dyDescent="0.3">
      <c r="A37" s="190" t="s">
        <v>727</v>
      </c>
      <c r="B37" s="198">
        <f>IF(Skötselplan!D125&gt;0,Skötselplan!D132,Skötselplan!D133)</f>
        <v>6.8</v>
      </c>
      <c r="C37" s="198">
        <f>IF(Skötselplan!E125&gt;0,Skötselplan!E132,Skötselplan!E133)</f>
        <v>8.1</v>
      </c>
      <c r="D37" s="198">
        <f>IF(Skötselplan!F125&gt;0,Skötselplan!F132,Skötselplan!F133)</f>
        <v>7.2</v>
      </c>
      <c r="E37" s="198" t="e">
        <f>IF(Skötselplan!G125&gt;0,Skötselplan!G132,Skötselplan!G133)</f>
        <v>#DIV/0!</v>
      </c>
      <c r="F37" s="32" t="e">
        <f>IF(G36&gt;0,G37/G36,0)</f>
        <v>#DIV/0!</v>
      </c>
      <c r="G37" s="195" t="e">
        <f>SUM(C37:E37)</f>
        <v>#DIV/0!</v>
      </c>
    </row>
    <row r="38" spans="1:13" s="70" customFormat="1" ht="15" customHeight="1" x14ac:dyDescent="0.3">
      <c r="A38" s="93" t="s">
        <v>728</v>
      </c>
      <c r="B38" s="176"/>
      <c r="C38" s="176"/>
      <c r="D38" s="176"/>
      <c r="E38" s="176"/>
      <c r="F38" s="176"/>
    </row>
    <row r="39" spans="1:13" s="70" customFormat="1" ht="15" customHeight="1" x14ac:dyDescent="0.3">
      <c r="A39" s="93"/>
      <c r="B39" s="176"/>
      <c r="C39" s="176"/>
      <c r="D39" s="176"/>
      <c r="E39" s="176"/>
      <c r="F39" s="176"/>
    </row>
    <row r="40" spans="1:13" s="70" customFormat="1" ht="15" customHeight="1" x14ac:dyDescent="0.3">
      <c r="A40" s="83" t="s">
        <v>729</v>
      </c>
      <c r="B40" s="93"/>
      <c r="C40" s="93"/>
      <c r="D40" s="93"/>
      <c r="E40" s="93"/>
    </row>
    <row r="41" spans="1:13" s="70" customFormat="1" ht="15" customHeight="1" x14ac:dyDescent="0.3">
      <c r="A41" s="54" t="s">
        <v>118</v>
      </c>
      <c r="B41" s="194" t="str">
        <f>IF(Skötselplan!B176&gt;0,Skötselplan!B176,"")</f>
        <v/>
      </c>
      <c r="C41" s="194" t="str">
        <f>IF(Skötselplan!C176&gt;0,Skötselplan!C176,"")</f>
        <v/>
      </c>
      <c r="D41" s="194" t="str">
        <f>IF(Skötselplan!D176&gt;0,Skötselplan!D176,"")</f>
        <v/>
      </c>
    </row>
    <row r="42" spans="1:13" s="70" customFormat="1" ht="15" customHeight="1" x14ac:dyDescent="0.3">
      <c r="A42" s="190" t="s">
        <v>727</v>
      </c>
      <c r="B42" s="198" t="str">
        <f>IF(Skötselplan!B180&gt;0,Skötselplan!B180,"")</f>
        <v/>
      </c>
      <c r="C42" s="198" t="str">
        <f>IF(Skötselplan!C180&gt;0,Skötselplan!C180,"")</f>
        <v/>
      </c>
      <c r="D42" s="198" t="str">
        <f>IF(Skötselplan!D180&gt;0,Skötselplan!D180,"")</f>
        <v/>
      </c>
    </row>
    <row r="43" spans="1:13" s="70" customFormat="1" ht="15" customHeight="1" x14ac:dyDescent="0.3">
      <c r="A43" s="93" t="s">
        <v>728</v>
      </c>
      <c r="B43" s="176"/>
      <c r="C43" s="176"/>
      <c r="D43" s="176"/>
      <c r="E43" s="176"/>
      <c r="F43" s="176"/>
    </row>
    <row r="44" spans="1:13" s="70" customFormat="1" ht="21" customHeight="1" x14ac:dyDescent="0.3">
      <c r="A44" s="127" t="s">
        <v>730</v>
      </c>
      <c r="B44" s="176"/>
      <c r="C44" s="176"/>
      <c r="D44" s="83"/>
      <c r="E44" s="93"/>
    </row>
    <row r="45" spans="1:13" s="70" customFormat="1" ht="21" customHeight="1" x14ac:dyDescent="0.3">
      <c r="A45" s="350"/>
      <c r="B45" s="350"/>
      <c r="C45" s="350"/>
      <c r="D45" s="350"/>
      <c r="E45" s="350"/>
    </row>
    <row r="46" spans="1:13" s="70" customFormat="1" ht="15" customHeight="1" x14ac:dyDescent="0.3">
      <c r="A46" s="93"/>
      <c r="B46" s="176"/>
      <c r="C46" s="176"/>
      <c r="D46" s="176"/>
      <c r="E46" s="176"/>
      <c r="F46" s="176"/>
    </row>
    <row r="47" spans="1:13" s="70" customFormat="1" ht="20.25" customHeight="1" x14ac:dyDescent="0.4">
      <c r="A47" s="186" t="s">
        <v>731</v>
      </c>
    </row>
    <row r="49" spans="1:1" x14ac:dyDescent="0.25">
      <c r="A49" s="187" t="s">
        <v>732</v>
      </c>
    </row>
    <row r="76" spans="1:13" s="70" customFormat="1" ht="21" customHeight="1" x14ac:dyDescent="0.3">
      <c r="A76" s="199" t="s">
        <v>733</v>
      </c>
      <c r="B76" s="194">
        <f>Skötselplan!F190</f>
        <v>9</v>
      </c>
      <c r="C76" s="187" t="s">
        <v>734</v>
      </c>
      <c r="D76" s="187"/>
      <c r="E76" s="187"/>
      <c r="F76" s="187"/>
      <c r="M76" s="189" t="str">
        <f>Skötselplan!A185</f>
        <v xml:space="preserve">2.1.9 Bedömning av den nuvarande älgstammen inom älgskötselområdet </v>
      </c>
    </row>
    <row r="77" spans="1:13" s="70" customFormat="1" ht="21" customHeight="1" x14ac:dyDescent="0.3">
      <c r="A77" s="127" t="s">
        <v>735</v>
      </c>
      <c r="B77" s="176"/>
      <c r="C77" s="176"/>
      <c r="D77" s="83"/>
      <c r="E77" s="93"/>
    </row>
    <row r="78" spans="1:13" s="70" customFormat="1" ht="21" customHeight="1" x14ac:dyDescent="0.3">
      <c r="A78" s="350"/>
      <c r="B78" s="350"/>
      <c r="C78" s="350"/>
      <c r="D78" s="350"/>
      <c r="E78" s="350"/>
    </row>
    <row r="81" spans="1:1" s="70" customFormat="1" ht="20.25" customHeight="1" x14ac:dyDescent="0.4">
      <c r="A81" s="186" t="s">
        <v>736</v>
      </c>
    </row>
    <row r="83" spans="1:1" x14ac:dyDescent="0.25">
      <c r="A83" s="187" t="s">
        <v>737</v>
      </c>
    </row>
    <row r="97" spans="1:13" s="70" customFormat="1" ht="21" customHeight="1" x14ac:dyDescent="0.3">
      <c r="A97" s="199" t="s">
        <v>738</v>
      </c>
      <c r="B97" s="187"/>
    </row>
    <row r="99" spans="1:13" s="70" customFormat="1" ht="15" customHeight="1" x14ac:dyDescent="0.3">
      <c r="A99" s="5">
        <f>IF(Skötselplan!C$9&gt;0,Skötselplan!C$9,"")</f>
        <v>2017</v>
      </c>
      <c r="B99" s="200">
        <v>0.8</v>
      </c>
      <c r="C99" s="187" t="s">
        <v>739</v>
      </c>
      <c r="D99" s="187"/>
      <c r="M99" s="201" t="s">
        <v>740</v>
      </c>
    </row>
    <row r="100" spans="1:13" s="70" customFormat="1" ht="15" customHeight="1" x14ac:dyDescent="0.3">
      <c r="A100" s="5">
        <f>IF(Skötselplan!C$9&gt;0,Skötselplan!C$9+1,"")</f>
        <v>2018</v>
      </c>
      <c r="B100" s="200">
        <v>0.8</v>
      </c>
      <c r="C100" s="187" t="s">
        <v>739</v>
      </c>
    </row>
    <row r="101" spans="1:13" s="70" customFormat="1" ht="15" customHeight="1" x14ac:dyDescent="0.3">
      <c r="A101" s="5">
        <f>IF(Skötselplan!C$9&gt;0,Skötselplan!C$9+2,"")</f>
        <v>2019</v>
      </c>
      <c r="B101" s="200">
        <v>0.8</v>
      </c>
      <c r="C101" s="187" t="s">
        <v>739</v>
      </c>
    </row>
    <row r="102" spans="1:13" s="70" customFormat="1" ht="15" customHeight="1" x14ac:dyDescent="0.3">
      <c r="A102" s="5">
        <f>IF(Skötselplan!C$9&gt;0,Skötselplan!C$9+3,"")</f>
        <v>2020</v>
      </c>
      <c r="B102" s="200">
        <v>0.8</v>
      </c>
      <c r="C102" s="187" t="s">
        <v>739</v>
      </c>
    </row>
    <row r="104" spans="1:13" s="70" customFormat="1" ht="21" customHeight="1" x14ac:dyDescent="0.3">
      <c r="A104" s="127" t="s">
        <v>735</v>
      </c>
      <c r="B104" s="176"/>
      <c r="C104" s="176"/>
      <c r="D104" s="83"/>
      <c r="E104" s="93"/>
    </row>
    <row r="105" spans="1:13" s="70" customFormat="1" ht="21" customHeight="1" x14ac:dyDescent="0.3">
      <c r="A105" s="350"/>
      <c r="B105" s="350"/>
      <c r="C105" s="350"/>
      <c r="D105" s="350"/>
      <c r="E105" s="350"/>
    </row>
    <row r="108" spans="1:13" s="70" customFormat="1" ht="20.25" customHeight="1" x14ac:dyDescent="0.4">
      <c r="A108" s="186" t="s">
        <v>741</v>
      </c>
    </row>
    <row r="110" spans="1:13" x14ac:dyDescent="0.25">
      <c r="A110" s="187" t="s">
        <v>742</v>
      </c>
    </row>
    <row r="123" spans="1:13" s="234" customFormat="1" ht="25.5" customHeight="1" x14ac:dyDescent="0.25">
      <c r="A123" s="199" t="s">
        <v>743</v>
      </c>
      <c r="D123" s="199" t="s">
        <v>744</v>
      </c>
      <c r="E123" s="199" t="s">
        <v>745</v>
      </c>
      <c r="F123" s="199" t="s">
        <v>746</v>
      </c>
      <c r="G123" s="202" t="s">
        <v>747</v>
      </c>
      <c r="M123" s="203" t="s">
        <v>748</v>
      </c>
    </row>
    <row r="124" spans="1:13" x14ac:dyDescent="0.25">
      <c r="A124" s="187" t="s">
        <v>75</v>
      </c>
      <c r="B124" s="204">
        <f>IF(C127&gt;0,C124/C127,0)</f>
        <v>0.23873478913993354</v>
      </c>
      <c r="C124" s="193">
        <f>IF(F$32&gt;0,F$32,"")</f>
        <v>0.34299999999999997</v>
      </c>
      <c r="D124" s="205">
        <f>D$127*B124</f>
        <v>3.0080583431631625</v>
      </c>
      <c r="E124" s="205">
        <f>$E$127*B130</f>
        <v>0.98761061946902651</v>
      </c>
      <c r="F124" s="205">
        <f>D124-E124</f>
        <v>2.0204477236941361</v>
      </c>
      <c r="G124" s="206">
        <f>IF(F124&gt;0,F124/$F$127,0)</f>
        <v>0.22449419152157069</v>
      </c>
    </row>
    <row r="125" spans="1:13" x14ac:dyDescent="0.25">
      <c r="A125" s="187" t="s">
        <v>208</v>
      </c>
      <c r="B125" s="204">
        <f>IF(C127&gt;0,C125/C127,0)</f>
        <v>0.45728500427095148</v>
      </c>
      <c r="C125" s="193">
        <f>IF(F$32&gt;0,1-F$32,"")</f>
        <v>0.65700000000000003</v>
      </c>
      <c r="D125" s="205">
        <f>D$127*B125</f>
        <v>5.7617910538139885</v>
      </c>
      <c r="E125" s="205">
        <f>$E$127*B131</f>
        <v>0.79646017699115046</v>
      </c>
      <c r="F125" s="205">
        <f>D125-E125</f>
        <v>4.9653308768228381</v>
      </c>
      <c r="G125" s="206">
        <f>IF(F125&gt;0,F125/$F$127,0)</f>
        <v>0.55170343075809314</v>
      </c>
    </row>
    <row r="126" spans="1:13" x14ac:dyDescent="0.25">
      <c r="A126" s="187" t="s">
        <v>79</v>
      </c>
      <c r="B126" s="204">
        <f>IF(C127&gt;0,C126/C127,0)</f>
        <v>0.30398020658911501</v>
      </c>
      <c r="C126" s="193">
        <f>IF(F$32&gt;0,C125*F31,"")</f>
        <v>0.43674075000000001</v>
      </c>
      <c r="D126" s="55">
        <f>D$127*B126</f>
        <v>3.8301506030228492</v>
      </c>
      <c r="E126" s="55">
        <f>$E$127*B132</f>
        <v>1.8159292035398231</v>
      </c>
      <c r="F126" s="55">
        <f>D126-E126</f>
        <v>2.0142213994830263</v>
      </c>
      <c r="G126" s="56">
        <f>IF(F126&gt;0,F126/$F$127,0)</f>
        <v>0.22380237772033626</v>
      </c>
    </row>
    <row r="127" spans="1:13" x14ac:dyDescent="0.25">
      <c r="A127" s="187" t="s">
        <v>209</v>
      </c>
      <c r="B127" s="204">
        <f>SUM(B124:B126)</f>
        <v>1</v>
      </c>
      <c r="C127" s="193">
        <f>SUM(C124:C126)</f>
        <v>1.43674075</v>
      </c>
      <c r="D127" s="205">
        <f>(1+$B$129)*B$76</f>
        <v>12.6</v>
      </c>
      <c r="E127" s="205">
        <f>B76*B129</f>
        <v>3.6</v>
      </c>
      <c r="F127" s="205">
        <f>SUM(F124:F126)</f>
        <v>9</v>
      </c>
      <c r="G127" s="206">
        <f>IF(F127&gt;0,F127/$F$127,0)</f>
        <v>1</v>
      </c>
    </row>
    <row r="128" spans="1:13" x14ac:dyDescent="0.25">
      <c r="A128" s="199" t="s">
        <v>746</v>
      </c>
      <c r="C128" s="204"/>
      <c r="E128" s="207"/>
      <c r="F128" s="207"/>
      <c r="G128" s="207"/>
      <c r="H128" s="207"/>
    </row>
    <row r="129" spans="1:13" x14ac:dyDescent="0.25">
      <c r="A129" s="187" t="s">
        <v>749</v>
      </c>
      <c r="B129" s="208">
        <v>0.4</v>
      </c>
      <c r="C129" s="204"/>
      <c r="D129" s="187" t="s">
        <v>750</v>
      </c>
      <c r="M129" s="201" t="s">
        <v>751</v>
      </c>
    </row>
    <row r="130" spans="1:13" x14ac:dyDescent="0.25">
      <c r="A130" s="187" t="s">
        <v>752</v>
      </c>
      <c r="B130" s="204">
        <f>IF(D7&gt;0,D7/D10,0)</f>
        <v>0.27433628318584069</v>
      </c>
    </row>
    <row r="131" spans="1:13" x14ac:dyDescent="0.25">
      <c r="A131" s="187" t="s">
        <v>753</v>
      </c>
      <c r="B131" s="204">
        <f>IF(D8&gt;0,D8/D10,0)</f>
        <v>0.22123893805309736</v>
      </c>
    </row>
    <row r="132" spans="1:13" x14ac:dyDescent="0.25">
      <c r="A132" s="187" t="s">
        <v>754</v>
      </c>
      <c r="B132" s="204">
        <f>IF(D9&gt;0,D9/D10,0)</f>
        <v>0.50442477876106195</v>
      </c>
    </row>
    <row r="134" spans="1:13" s="70" customFormat="1" ht="21" customHeight="1" x14ac:dyDescent="0.3">
      <c r="A134" s="199" t="s">
        <v>202</v>
      </c>
      <c r="M134" s="209" t="str">
        <f>Skötselplan!A185</f>
        <v xml:space="preserve">2.1.9 Bedömning av den nuvarande älgstammen inom älgskötselområdet </v>
      </c>
    </row>
    <row r="136" spans="1:13" s="70" customFormat="1" ht="15" customHeight="1" x14ac:dyDescent="0.3">
      <c r="A136" s="187" t="s">
        <v>75</v>
      </c>
      <c r="B136" s="197">
        <f>Skötselplan!B195</f>
        <v>0.26</v>
      </c>
      <c r="C136" s="204"/>
      <c r="D136" s="187"/>
    </row>
    <row r="137" spans="1:13" s="70" customFormat="1" ht="15" customHeight="1" x14ac:dyDescent="0.3">
      <c r="A137" s="187" t="s">
        <v>208</v>
      </c>
      <c r="B137" s="197">
        <f>Skötselplan!B196</f>
        <v>0.51</v>
      </c>
      <c r="C137" s="204"/>
      <c r="D137" s="187"/>
    </row>
    <row r="138" spans="1:13" s="70" customFormat="1" ht="15" customHeight="1" x14ac:dyDescent="0.3">
      <c r="A138" s="187" t="s">
        <v>79</v>
      </c>
      <c r="B138" s="197">
        <f>Skötselplan!B197</f>
        <v>0.23</v>
      </c>
      <c r="C138" s="204"/>
      <c r="D138" s="187"/>
    </row>
    <row r="139" spans="1:13" s="70" customFormat="1" ht="15" customHeight="1" x14ac:dyDescent="0.3">
      <c r="A139" s="187" t="s">
        <v>209</v>
      </c>
      <c r="B139" s="33">
        <f>SUM(B136:B138)</f>
        <v>1</v>
      </c>
      <c r="C139" s="204"/>
    </row>
    <row r="141" spans="1:13" s="70" customFormat="1" ht="21" customHeight="1" x14ac:dyDescent="0.3">
      <c r="A141" s="127" t="s">
        <v>735</v>
      </c>
      <c r="B141" s="176"/>
      <c r="C141" s="176"/>
      <c r="D141" s="83"/>
      <c r="E141" s="93"/>
    </row>
    <row r="142" spans="1:13" s="70" customFormat="1" ht="21" customHeight="1" x14ac:dyDescent="0.3">
      <c r="A142" s="350"/>
      <c r="B142" s="350"/>
      <c r="C142" s="350"/>
      <c r="D142" s="350"/>
      <c r="E142" s="350"/>
    </row>
    <row r="144" spans="1:13" s="70" customFormat="1" ht="20.25" customHeight="1" x14ac:dyDescent="0.4">
      <c r="A144" s="186" t="s">
        <v>755</v>
      </c>
    </row>
    <row r="145" spans="1:13" s="70" customFormat="1" ht="15.75" customHeight="1" x14ac:dyDescent="0.3">
      <c r="A145" s="210" t="s">
        <v>756</v>
      </c>
      <c r="M145" s="189" t="str">
        <f>Skötselplan!A252&amp;Skötselplan!A263</f>
        <v>2.4 Redovisning av rapporterade viltolyckor med älg 2.5 Övrig dödlighet</v>
      </c>
    </row>
    <row r="146" spans="1:13" s="70" customFormat="1" ht="38.25" customHeight="1" x14ac:dyDescent="0.3">
      <c r="A146" s="187"/>
      <c r="C146" s="211" t="s">
        <v>733</v>
      </c>
      <c r="D146" s="211" t="s">
        <v>757</v>
      </c>
      <c r="E146" s="211" t="s">
        <v>758</v>
      </c>
      <c r="F146" s="211" t="s">
        <v>759</v>
      </c>
      <c r="G146" s="211" t="s">
        <v>760</v>
      </c>
      <c r="H146" s="211" t="s">
        <v>761</v>
      </c>
      <c r="I146" s="211" t="s">
        <v>762</v>
      </c>
      <c r="M146" s="201" t="s">
        <v>763</v>
      </c>
    </row>
    <row r="147" spans="1:13" x14ac:dyDescent="0.25">
      <c r="A147" s="187" t="s">
        <v>764</v>
      </c>
      <c r="B147" s="204"/>
      <c r="C147" s="212">
        <f>B76</f>
        <v>9</v>
      </c>
      <c r="D147" s="213">
        <f>B163</f>
        <v>44370</v>
      </c>
      <c r="E147" s="213">
        <f>C147*D147/1000</f>
        <v>399.33</v>
      </c>
      <c r="F147" s="214">
        <v>1.4</v>
      </c>
      <c r="G147" s="213">
        <f>E147*F147</f>
        <v>559.0619999999999</v>
      </c>
      <c r="H147" s="215">
        <f>IF(G147&gt;0,(E20+E22)/F19,"")</f>
        <v>0</v>
      </c>
      <c r="I147" s="216">
        <f>IF(G147&gt;0,H147/G147,"")</f>
        <v>0</v>
      </c>
      <c r="M147" s="201" t="s">
        <v>765</v>
      </c>
    </row>
    <row r="149" spans="1:13" s="70" customFormat="1" ht="21" customHeight="1" x14ac:dyDescent="0.3">
      <c r="A149" s="199" t="s">
        <v>766</v>
      </c>
      <c r="B149" s="187"/>
      <c r="C149" s="187"/>
      <c r="D149" s="187"/>
      <c r="F149" s="187"/>
      <c r="I149" s="187"/>
    </row>
    <row r="151" spans="1:13" s="70" customFormat="1" ht="15" customHeight="1" x14ac:dyDescent="0.3">
      <c r="A151" s="5">
        <f>IF(Skötselplan!C$9&gt;0,Skötselplan!C$9,"")</f>
        <v>2017</v>
      </c>
      <c r="B151" s="217">
        <v>0.04</v>
      </c>
      <c r="C151" s="187"/>
      <c r="D151" s="187"/>
      <c r="F151" s="187"/>
      <c r="M151" s="201" t="s">
        <v>767</v>
      </c>
    </row>
    <row r="152" spans="1:13" s="70" customFormat="1" ht="15" customHeight="1" x14ac:dyDescent="0.3">
      <c r="A152" s="5">
        <f>IF(Skötselplan!C$9&gt;0,Skötselplan!C$9+1,"")</f>
        <v>2018</v>
      </c>
      <c r="B152" s="217">
        <v>0.04</v>
      </c>
    </row>
    <row r="153" spans="1:13" s="70" customFormat="1" ht="15" customHeight="1" x14ac:dyDescent="0.3">
      <c r="A153" s="5">
        <f>IF(Skötselplan!C$9&gt;0,Skötselplan!C$9+2,"")</f>
        <v>2019</v>
      </c>
      <c r="B153" s="217">
        <v>0.04</v>
      </c>
    </row>
    <row r="154" spans="1:13" s="70" customFormat="1" ht="15" customHeight="1" x14ac:dyDescent="0.3">
      <c r="A154" s="5">
        <f>IF(Skötselplan!C$9&gt;0,Skötselplan!C$9+3,"")</f>
        <v>2020</v>
      </c>
      <c r="B154" s="217">
        <v>0.04</v>
      </c>
    </row>
    <row r="156" spans="1:13" s="70" customFormat="1" ht="15" customHeight="1" x14ac:dyDescent="0.3">
      <c r="A156" s="127" t="s">
        <v>735</v>
      </c>
      <c r="B156" s="176"/>
      <c r="C156" s="176"/>
      <c r="D156" s="83"/>
      <c r="E156" s="93"/>
    </row>
    <row r="157" spans="1:13" s="70" customFormat="1" ht="15" customHeight="1" x14ac:dyDescent="0.3">
      <c r="A157" s="350"/>
      <c r="B157" s="350"/>
      <c r="C157" s="350"/>
      <c r="D157" s="350"/>
      <c r="E157" s="350"/>
    </row>
    <row r="158" spans="1:13" s="70" customFormat="1" ht="15" customHeight="1" x14ac:dyDescent="0.3">
      <c r="A158" s="218"/>
      <c r="B158" s="218"/>
      <c r="C158" s="218"/>
      <c r="D158" s="218"/>
      <c r="E158" s="218"/>
    </row>
    <row r="160" spans="1:13" s="70" customFormat="1" ht="20.25" customHeight="1" x14ac:dyDescent="0.4">
      <c r="A160" s="186" t="s">
        <v>768</v>
      </c>
      <c r="C160" s="186" t="str">
        <f>IF(Skötselplan!C1&gt;0,Skötselplan!C1,"")</f>
        <v>GARPENBERGS ÄLGSKÖTSELOMRÅDE</v>
      </c>
      <c r="H160" s="219" t="s">
        <v>769</v>
      </c>
      <c r="I160" s="186">
        <f>D163</f>
        <v>2017</v>
      </c>
      <c r="J160" s="220" t="s">
        <v>770</v>
      </c>
      <c r="K160" s="186">
        <f>IF(Skötselplan!E9&gt;0,Skötselplan!E9,"")</f>
        <v>2019</v>
      </c>
    </row>
    <row r="162" spans="1:13" x14ac:dyDescent="0.25">
      <c r="D162" s="221" t="s">
        <v>771</v>
      </c>
      <c r="E162" s="221" t="s">
        <v>772</v>
      </c>
      <c r="F162" s="221" t="s">
        <v>773</v>
      </c>
    </row>
    <row r="163" spans="1:13" x14ac:dyDescent="0.25">
      <c r="A163" s="199" t="s">
        <v>757</v>
      </c>
      <c r="B163" s="222">
        <f>Skötselplan!C12</f>
        <v>44370</v>
      </c>
      <c r="C163" s="187" t="s">
        <v>774</v>
      </c>
      <c r="D163" s="223">
        <f>A151</f>
        <v>2017</v>
      </c>
      <c r="E163" s="205">
        <f>B99</f>
        <v>0.8</v>
      </c>
      <c r="F163" s="206">
        <f>B151</f>
        <v>0.04</v>
      </c>
      <c r="M163" s="189" t="str">
        <f>Skötselplan!A2</f>
        <v>1. Handlingskort för älgskötselplanen</v>
      </c>
    </row>
    <row r="164" spans="1:13" x14ac:dyDescent="0.25">
      <c r="A164" s="199" t="s">
        <v>775</v>
      </c>
      <c r="B164" s="224">
        <f>B76</f>
        <v>9</v>
      </c>
      <c r="C164" s="187" t="s">
        <v>776</v>
      </c>
      <c r="D164" s="223">
        <f>A152</f>
        <v>2018</v>
      </c>
      <c r="E164" s="205">
        <f>B100</f>
        <v>0.8</v>
      </c>
      <c r="F164" s="206">
        <f>B152</f>
        <v>0.04</v>
      </c>
      <c r="M164" s="189" t="str">
        <f>Skötselplan!A185</f>
        <v xml:space="preserve">2.1.9 Bedömning av den nuvarande älgstammen inom älgskötselområdet </v>
      </c>
    </row>
    <row r="165" spans="1:13" s="70" customFormat="1" ht="15" customHeight="1" x14ac:dyDescent="0.3">
      <c r="A165" s="199" t="s">
        <v>777</v>
      </c>
      <c r="B165" s="217">
        <v>0.52</v>
      </c>
      <c r="C165" s="187"/>
      <c r="D165" s="223">
        <f>A153</f>
        <v>2019</v>
      </c>
      <c r="E165" s="205">
        <f>B101</f>
        <v>0.8</v>
      </c>
      <c r="F165" s="206">
        <f>B153</f>
        <v>0.04</v>
      </c>
      <c r="M165" s="201" t="s">
        <v>778</v>
      </c>
    </row>
    <row r="166" spans="1:13" s="70" customFormat="1" ht="15" customHeight="1" x14ac:dyDescent="0.3">
      <c r="A166" s="187"/>
      <c r="B166" s="128"/>
      <c r="C166" s="187"/>
      <c r="D166" s="223">
        <f>A154</f>
        <v>2020</v>
      </c>
      <c r="E166" s="205">
        <f>B102</f>
        <v>0.8</v>
      </c>
      <c r="F166" s="206">
        <f>B154</f>
        <v>0.04</v>
      </c>
    </row>
    <row r="167" spans="1:13" s="70" customFormat="1" ht="15" customHeight="1" x14ac:dyDescent="0.3">
      <c r="A167" s="187" t="s">
        <v>779</v>
      </c>
      <c r="B167" s="217">
        <v>0.3</v>
      </c>
      <c r="C167" s="187"/>
      <c r="D167" s="223"/>
      <c r="E167" s="205"/>
      <c r="F167" s="206"/>
      <c r="M167" s="201" t="s">
        <v>780</v>
      </c>
    </row>
    <row r="168" spans="1:13" x14ac:dyDescent="0.25">
      <c r="H168" s="199" t="s">
        <v>781</v>
      </c>
      <c r="J168" s="199" t="s">
        <v>782</v>
      </c>
    </row>
    <row r="169" spans="1:13" x14ac:dyDescent="0.25">
      <c r="A169" s="57"/>
      <c r="B169" s="57"/>
      <c r="C169" s="37" t="s">
        <v>75</v>
      </c>
      <c r="D169" s="37" t="s">
        <v>120</v>
      </c>
      <c r="E169" s="37" t="s">
        <v>79</v>
      </c>
      <c r="F169" s="37" t="s">
        <v>783</v>
      </c>
      <c r="G169" s="37" t="s">
        <v>784</v>
      </c>
      <c r="H169" s="37" t="s">
        <v>785</v>
      </c>
      <c r="I169" s="37" t="s">
        <v>79</v>
      </c>
      <c r="J169" s="38" t="s">
        <v>786</v>
      </c>
      <c r="K169" s="57"/>
    </row>
    <row r="170" spans="1:13" s="70" customFormat="1" ht="15" customHeight="1" x14ac:dyDescent="0.3">
      <c r="A170" s="187" t="s">
        <v>787</v>
      </c>
      <c r="B170" s="170">
        <f>IF(Skötselplan!C$9&gt;0,Skötselplan!C$9,"")</f>
        <v>2017</v>
      </c>
      <c r="C170" s="206">
        <f>B136</f>
        <v>0.26</v>
      </c>
      <c r="D170" s="206">
        <f>B137</f>
        <v>0.51</v>
      </c>
      <c r="E170" s="206">
        <f>B138</f>
        <v>0.23</v>
      </c>
      <c r="F170" s="225">
        <f>(B163/1000)*B164</f>
        <v>399.33</v>
      </c>
      <c r="G170" s="226">
        <f t="shared" ref="G170:G176" si="0">IF(F170&gt;0,F170/($B$163/1000),"")</f>
        <v>9</v>
      </c>
      <c r="L170" s="187"/>
      <c r="M170" s="187"/>
    </row>
    <row r="171" spans="1:13" s="70" customFormat="1" ht="15" customHeight="1" x14ac:dyDescent="0.3">
      <c r="A171" s="187" t="s">
        <v>782</v>
      </c>
      <c r="B171" s="170">
        <f>IF(Skötselplan!C$9&gt;0,Skötselplan!C$9,"")</f>
        <v>2017</v>
      </c>
      <c r="C171" s="225">
        <f>$F$170*C170</f>
        <v>103.8258</v>
      </c>
      <c r="D171" s="225">
        <f>$F$170*D170</f>
        <v>203.6583</v>
      </c>
      <c r="E171" s="225">
        <f>$F$170*E170</f>
        <v>91.8459</v>
      </c>
      <c r="F171" s="225">
        <f t="shared" ref="F171:F176" si="1">SUM(C171:E171)</f>
        <v>399.33000000000004</v>
      </c>
      <c r="G171" s="227">
        <f t="shared" si="0"/>
        <v>9.0000000000000018</v>
      </c>
      <c r="H171" s="187"/>
      <c r="I171" s="187"/>
      <c r="J171" s="228">
        <f>IF(F171&gt;0,C171/(C171+D171),"")</f>
        <v>0.33766233766233766</v>
      </c>
      <c r="K171" s="187"/>
      <c r="L171" s="187"/>
      <c r="M171" s="187"/>
    </row>
    <row r="172" spans="1:13" s="70" customFormat="1" ht="15" customHeight="1" x14ac:dyDescent="0.3">
      <c r="A172" s="187" t="s">
        <v>788</v>
      </c>
      <c r="B172" s="170">
        <f>IF(Skötselplan!C$9&gt;0,Skötselplan!C$9,"")</f>
        <v>2017</v>
      </c>
      <c r="C172" s="229">
        <f>$B$165*$E171</f>
        <v>47.759868000000004</v>
      </c>
      <c r="D172" s="229">
        <f>(1-$B$165)*$E171</f>
        <v>44.086031999999996</v>
      </c>
      <c r="E172" s="229">
        <f>((D171+D172)*E$163)+(B$167*E173)</f>
        <v>214.714694025</v>
      </c>
      <c r="F172" s="225">
        <f t="shared" si="1"/>
        <v>306.560594025</v>
      </c>
      <c r="G172" s="226">
        <f t="shared" si="0"/>
        <v>6.9091862525354975</v>
      </c>
      <c r="J172" s="187"/>
      <c r="L172" s="187"/>
      <c r="M172" s="187"/>
    </row>
    <row r="173" spans="1:13" s="70" customFormat="1" ht="15" customHeight="1" x14ac:dyDescent="0.3">
      <c r="A173" s="187" t="s">
        <v>789</v>
      </c>
      <c r="B173" s="170">
        <f>IF(Skötselplan!C$9&gt;0,Skötselplan!C$9,"")</f>
        <v>2017</v>
      </c>
      <c r="C173" s="229">
        <f>IF(Skötselplan!$F$284="",0,Skötselplan!$D$284/2)</f>
        <v>4.4142401250000001</v>
      </c>
      <c r="D173" s="229">
        <f>IF(Skötselplan!$F$284="",0,Skötselplan!$D$284/2)</f>
        <v>4.4142401250000001</v>
      </c>
      <c r="E173" s="229">
        <f>IF(Skötselplan!$E$284="",0,Skötselplan!$E$284)</f>
        <v>55.064094750000002</v>
      </c>
      <c r="F173" s="225">
        <f t="shared" si="1"/>
        <v>63.892575000000001</v>
      </c>
      <c r="G173" s="226">
        <f t="shared" si="0"/>
        <v>1.4399949290060854</v>
      </c>
      <c r="J173" s="187"/>
      <c r="L173" s="187"/>
      <c r="M173" s="187"/>
    </row>
    <row r="174" spans="1:13" s="70" customFormat="1" ht="15" customHeight="1" x14ac:dyDescent="0.3">
      <c r="A174" s="187" t="s">
        <v>790</v>
      </c>
      <c r="B174" s="170">
        <f>IF(Skötselplan!C$9&gt;0,Skötselplan!C$9,"")</f>
        <v>2017</v>
      </c>
      <c r="C174" s="229">
        <f>$B151*C171</f>
        <v>4.1530320000000005</v>
      </c>
      <c r="D174" s="229">
        <f>$B151*D171</f>
        <v>8.1463319999999992</v>
      </c>
      <c r="E174" s="229">
        <f>$B151*E171</f>
        <v>3.6738360000000001</v>
      </c>
      <c r="F174" s="225">
        <f t="shared" si="1"/>
        <v>15.9732</v>
      </c>
      <c r="G174" s="226">
        <f t="shared" si="0"/>
        <v>0.36000000000000004</v>
      </c>
      <c r="J174" s="187"/>
      <c r="L174" s="187"/>
      <c r="M174" s="187"/>
    </row>
    <row r="175" spans="1:13" s="70" customFormat="1" ht="15" customHeight="1" x14ac:dyDescent="0.3">
      <c r="A175" s="187" t="s">
        <v>744</v>
      </c>
      <c r="B175" s="170">
        <f>IF(Skötselplan!C$9&gt;0,Skötselplan!C$9,"")</f>
        <v>2017</v>
      </c>
      <c r="C175" s="225">
        <f>C171+C172-C173-C174</f>
        <v>143.01839587500001</v>
      </c>
      <c r="D175" s="225">
        <f>D171+D172-D174</f>
        <v>239.59799999999998</v>
      </c>
      <c r="E175" s="225">
        <f>E172-E173-E174</f>
        <v>155.976763275</v>
      </c>
      <c r="F175" s="225">
        <f t="shared" si="1"/>
        <v>538.59315915000002</v>
      </c>
      <c r="G175" s="226">
        <f t="shared" si="0"/>
        <v>12.13867836713996</v>
      </c>
      <c r="H175" s="187"/>
      <c r="I175" s="187"/>
      <c r="J175" s="187"/>
      <c r="K175" s="187"/>
      <c r="L175" s="187"/>
      <c r="M175" s="187"/>
    </row>
    <row r="176" spans="1:13" s="70" customFormat="1" ht="15" customHeight="1" x14ac:dyDescent="0.3">
      <c r="A176" s="187" t="s">
        <v>745</v>
      </c>
      <c r="B176" s="170">
        <f>IF(Skötselplan!C$9&gt;0,Skötselplan!C$9,"")</f>
        <v>2017</v>
      </c>
      <c r="C176" s="230">
        <f>Skötselplan!B313</f>
        <v>31</v>
      </c>
      <c r="D176" s="230">
        <f>Skötselplan!B314</f>
        <v>31</v>
      </c>
      <c r="E176" s="230">
        <f>Skötselplan!B315</f>
        <v>62</v>
      </c>
      <c r="F176" s="225">
        <f t="shared" si="1"/>
        <v>124</v>
      </c>
      <c r="G176" s="226">
        <f t="shared" si="0"/>
        <v>2.7946810908271358</v>
      </c>
      <c r="H176" s="204">
        <f>IF((C176+D176)&gt;0,C176/(C176+D176),"")</f>
        <v>0.5</v>
      </c>
      <c r="I176" s="204">
        <f>IF(E176&gt;0,E176/F176,"")</f>
        <v>0.5</v>
      </c>
      <c r="J176" s="204"/>
      <c r="K176" s="204"/>
      <c r="L176" s="204"/>
      <c r="M176" s="209" t="str">
        <f>Skötselplan!A310</f>
        <v xml:space="preserve">4.1 Avskjutning för älgskötselområdet </v>
      </c>
    </row>
    <row r="177" spans="1:13" s="70" customFormat="1" ht="15" customHeight="1" x14ac:dyDescent="0.3">
      <c r="A177" s="187" t="s">
        <v>787</v>
      </c>
      <c r="B177" s="170">
        <f>IF(Skötselplan!C$9&gt;0,Skötselplan!C$9+1,"")</f>
        <v>2018</v>
      </c>
      <c r="C177" s="120">
        <f>IF(C176&gt;0,C178/$F178,"")</f>
        <v>0.27018872213101741</v>
      </c>
      <c r="D177" s="120">
        <f>IF(D176&gt;0,D178/$F178,"")</f>
        <v>0.50313903014624795</v>
      </c>
      <c r="E177" s="120">
        <f>IF(E176&gt;0,E178/$F178,"")</f>
        <v>0.22667224772273478</v>
      </c>
      <c r="F177" s="225"/>
      <c r="G177" s="226"/>
      <c r="J177" s="187"/>
      <c r="L177" s="187"/>
      <c r="M177" s="187"/>
    </row>
    <row r="178" spans="1:13" s="70" customFormat="1" ht="15" customHeight="1" x14ac:dyDescent="0.3">
      <c r="A178" s="187" t="s">
        <v>782</v>
      </c>
      <c r="B178" s="170">
        <f>IF(Skötselplan!C$9&gt;0,Skötselplan!C$9+1,"")</f>
        <v>2018</v>
      </c>
      <c r="C178" s="225">
        <f>C175-C176</f>
        <v>112.01839587500001</v>
      </c>
      <c r="D178" s="225">
        <f>D175-D176</f>
        <v>208.59799999999998</v>
      </c>
      <c r="E178" s="225">
        <f>E175-E176</f>
        <v>93.976763274999996</v>
      </c>
      <c r="F178" s="225">
        <f t="shared" ref="F178:F183" si="2">SUM(C178:E178)</f>
        <v>414.59315914999996</v>
      </c>
      <c r="G178" s="227">
        <f t="shared" ref="G178:G183" si="3">IF(F178&gt;0,F178/($B$163/1000),"")</f>
        <v>9.3439972763128232</v>
      </c>
      <c r="H178" s="187"/>
      <c r="I178" s="187"/>
      <c r="J178" s="228">
        <f>IF(F178&gt;0,C178/(C178+D178),"")</f>
        <v>0.34938448973979824</v>
      </c>
      <c r="K178" s="187"/>
      <c r="L178" s="187"/>
      <c r="M178" s="187"/>
    </row>
    <row r="179" spans="1:13" s="70" customFormat="1" ht="15" customHeight="1" x14ac:dyDescent="0.3">
      <c r="A179" s="187" t="s">
        <v>788</v>
      </c>
      <c r="B179" s="170">
        <f>IF(Skötselplan!C$9&gt;0,Skötselplan!C$9+1,"")</f>
        <v>2018</v>
      </c>
      <c r="C179" s="229">
        <f>$B$165*$E178</f>
        <v>48.867916903000001</v>
      </c>
      <c r="D179" s="229">
        <f>(1-$B$165)*$E178</f>
        <v>45.108846371999995</v>
      </c>
      <c r="E179" s="229">
        <f>((D178+D179)*E$164)+(B$167*E180)</f>
        <v>219.4847055226</v>
      </c>
      <c r="F179" s="225">
        <f t="shared" si="2"/>
        <v>313.46146879759999</v>
      </c>
      <c r="G179" s="226">
        <f t="shared" si="3"/>
        <v>7.0647164479963944</v>
      </c>
      <c r="J179" s="187"/>
      <c r="L179" s="187"/>
      <c r="M179" s="187"/>
    </row>
    <row r="180" spans="1:13" s="70" customFormat="1" ht="15" customHeight="1" x14ac:dyDescent="0.3">
      <c r="A180" s="187" t="s">
        <v>789</v>
      </c>
      <c r="B180" s="170">
        <f>IF(Skötselplan!C$9&gt;0,Skötselplan!C$9+1,"")</f>
        <v>2018</v>
      </c>
      <c r="C180" s="229">
        <f>IF(Skötselplan!$F$284="",0,Skötselplan!$D$284/2)</f>
        <v>4.4142401250000001</v>
      </c>
      <c r="D180" s="229">
        <f>IF(Skötselplan!$F$284="",0,Skötselplan!$D$284/2)</f>
        <v>4.4142401250000001</v>
      </c>
      <c r="E180" s="229">
        <f>IF(Skötselplan!$E$284="",0,Skötselplan!$E$284)</f>
        <v>55.064094750000002</v>
      </c>
      <c r="F180" s="225">
        <f t="shared" si="2"/>
        <v>63.892575000000001</v>
      </c>
      <c r="G180" s="226">
        <f t="shared" si="3"/>
        <v>1.4399949290060854</v>
      </c>
      <c r="J180" s="187"/>
      <c r="L180" s="187"/>
      <c r="M180" s="187"/>
    </row>
    <row r="181" spans="1:13" s="70" customFormat="1" ht="15" customHeight="1" x14ac:dyDescent="0.3">
      <c r="A181" s="187" t="s">
        <v>790</v>
      </c>
      <c r="B181" s="170">
        <f>IF(Skötselplan!C$9&gt;0,Skötselplan!C$9+1,"")</f>
        <v>2018</v>
      </c>
      <c r="C181" s="229">
        <f>$B152*C178</f>
        <v>4.4807358350000008</v>
      </c>
      <c r="D181" s="229">
        <f>$B152*D178</f>
        <v>8.3439199999999989</v>
      </c>
      <c r="E181" s="229">
        <f>$B152*E178</f>
        <v>3.7590705309999999</v>
      </c>
      <c r="F181" s="225">
        <f t="shared" si="2"/>
        <v>16.583726366</v>
      </c>
      <c r="G181" s="226">
        <f t="shared" si="3"/>
        <v>0.373759891052513</v>
      </c>
      <c r="J181" s="187"/>
      <c r="L181" s="187"/>
      <c r="M181" s="187"/>
    </row>
    <row r="182" spans="1:13" s="70" customFormat="1" ht="15" customHeight="1" x14ac:dyDescent="0.3">
      <c r="A182" s="187" t="s">
        <v>744</v>
      </c>
      <c r="B182" s="170">
        <f>IF(Skötselplan!C$9&gt;0,Skötselplan!C$9+1,"")</f>
        <v>2018</v>
      </c>
      <c r="C182" s="225">
        <f>C178+C179-C180-C181</f>
        <v>151.99133681800004</v>
      </c>
      <c r="D182" s="225">
        <f>D178+D179-D181</f>
        <v>245.36292637199998</v>
      </c>
      <c r="E182" s="225">
        <f>E179-E180-E181</f>
        <v>160.66154024159999</v>
      </c>
      <c r="F182" s="225">
        <f t="shared" si="2"/>
        <v>558.01580343160003</v>
      </c>
      <c r="G182" s="226">
        <f t="shared" si="3"/>
        <v>12.576421082524229</v>
      </c>
      <c r="H182" s="187"/>
      <c r="I182" s="187"/>
      <c r="J182" s="187"/>
      <c r="K182" s="187"/>
      <c r="L182" s="187"/>
      <c r="M182" s="187"/>
    </row>
    <row r="183" spans="1:13" s="70" customFormat="1" ht="15" customHeight="1" x14ac:dyDescent="0.3">
      <c r="A183" s="187" t="s">
        <v>745</v>
      </c>
      <c r="B183" s="170">
        <f>IF(Skötselplan!C$9&gt;0,Skötselplan!C$9+1,"")</f>
        <v>2018</v>
      </c>
      <c r="C183" s="230">
        <f>Skötselplan!C313</f>
        <v>31</v>
      </c>
      <c r="D183" s="230">
        <f>Skötselplan!C314</f>
        <v>31</v>
      </c>
      <c r="E183" s="230">
        <f>Skötselplan!C315</f>
        <v>62</v>
      </c>
      <c r="F183" s="225">
        <f t="shared" si="2"/>
        <v>124</v>
      </c>
      <c r="G183" s="226">
        <f t="shared" si="3"/>
        <v>2.7946810908271358</v>
      </c>
      <c r="H183" s="204">
        <f>IF((C183+D183)&gt;0,C183/(C183+D183),"")</f>
        <v>0.5</v>
      </c>
      <c r="I183" s="204">
        <f>IF(E183&gt;0,E183/F183,"")</f>
        <v>0.5</v>
      </c>
      <c r="J183" s="204"/>
      <c r="K183" s="204"/>
      <c r="L183" s="204"/>
      <c r="M183" s="209" t="str">
        <f>Skötselplan!A310</f>
        <v xml:space="preserve">4.1 Avskjutning för älgskötselområdet </v>
      </c>
    </row>
    <row r="184" spans="1:13" s="70" customFormat="1" ht="15" customHeight="1" x14ac:dyDescent="0.3">
      <c r="A184" s="187" t="s">
        <v>787</v>
      </c>
      <c r="B184" s="170">
        <f>IF(Skötselplan!C$9&gt;0,Skötselplan!C$9+2,"")</f>
        <v>2019</v>
      </c>
      <c r="C184" s="120">
        <f>IF(C183&gt;0,C185/$F185,"")</f>
        <v>0.27877173103229647</v>
      </c>
      <c r="D184" s="120">
        <f>IF(D183&gt;0,D185/$F185,"")</f>
        <v>0.49390580867588879</v>
      </c>
      <c r="E184" s="120">
        <f>IF(E183&gt;0,E185/$F185,"")</f>
        <v>0.22732246029181483</v>
      </c>
      <c r="F184" s="225"/>
      <c r="G184" s="226"/>
      <c r="J184" s="187"/>
      <c r="L184" s="187"/>
      <c r="M184" s="187"/>
    </row>
    <row r="185" spans="1:13" s="70" customFormat="1" ht="15" customHeight="1" x14ac:dyDescent="0.3">
      <c r="A185" s="187" t="s">
        <v>782</v>
      </c>
      <c r="B185" s="170">
        <f>IF(Skötselplan!C$9&gt;0,Skötselplan!C$9+2,"")</f>
        <v>2019</v>
      </c>
      <c r="C185" s="225">
        <f>C182-C183</f>
        <v>120.99133681800004</v>
      </c>
      <c r="D185" s="225">
        <f>D182-D183</f>
        <v>214.36292637199998</v>
      </c>
      <c r="E185" s="225">
        <f>E182-E183</f>
        <v>98.661540241599994</v>
      </c>
      <c r="F185" s="225">
        <f t="shared" ref="F185:F190" si="4">SUM(C185:E185)</f>
        <v>434.01580343159998</v>
      </c>
      <c r="G185" s="227">
        <f t="shared" ref="G185:G190" si="5">IF(F185&gt;0,F185/($B$163/1000),"")</f>
        <v>9.7817399916970924</v>
      </c>
      <c r="H185" s="187"/>
      <c r="I185" s="187"/>
      <c r="J185" s="228">
        <f>IF(F185&gt;0,C185/(C185+D185),"")</f>
        <v>0.36078663699423608</v>
      </c>
      <c r="K185" s="187"/>
      <c r="L185" s="187"/>
      <c r="M185" s="187"/>
    </row>
    <row r="186" spans="1:13" s="70" customFormat="1" ht="15" customHeight="1" x14ac:dyDescent="0.3">
      <c r="A186" s="187" t="s">
        <v>788</v>
      </c>
      <c r="B186" s="170">
        <f>IF(Skötselplan!C$9&gt;0,Skötselplan!C$9+2,"")</f>
        <v>2019</v>
      </c>
      <c r="C186" s="229">
        <f>$B$165*$E185</f>
        <v>51.304000925631996</v>
      </c>
      <c r="D186" s="229">
        <f>(1-$B$165)*$E185</f>
        <v>47.357539315967998</v>
      </c>
      <c r="E186" s="229">
        <f>((D185+D186)*E$165)+(B$167*E187)</f>
        <v>225.89560097537441</v>
      </c>
      <c r="F186" s="225">
        <f t="shared" si="4"/>
        <v>324.5571412169744</v>
      </c>
      <c r="G186" s="226">
        <f t="shared" si="5"/>
        <v>7.3147879471934738</v>
      </c>
      <c r="J186" s="187"/>
      <c r="L186" s="187"/>
      <c r="M186" s="187"/>
    </row>
    <row r="187" spans="1:13" s="70" customFormat="1" ht="15" customHeight="1" x14ac:dyDescent="0.3">
      <c r="A187" s="187" t="s">
        <v>789</v>
      </c>
      <c r="B187" s="170">
        <f>IF(Skötselplan!C$9&gt;0,Skötselplan!C$9+2,"")</f>
        <v>2019</v>
      </c>
      <c r="C187" s="229">
        <f>IF(Skötselplan!$F$284="",0,Skötselplan!$D$284/2)</f>
        <v>4.4142401250000001</v>
      </c>
      <c r="D187" s="229">
        <f>IF(Skötselplan!$F$284="",0,Skötselplan!$D$284/2)</f>
        <v>4.4142401250000001</v>
      </c>
      <c r="E187" s="229">
        <f>IF(Skötselplan!$E$284="",0,Skötselplan!$E$284)</f>
        <v>55.064094750000002</v>
      </c>
      <c r="F187" s="225">
        <f t="shared" si="4"/>
        <v>63.892575000000001</v>
      </c>
      <c r="G187" s="226">
        <f t="shared" si="5"/>
        <v>1.4399949290060854</v>
      </c>
      <c r="J187" s="187"/>
      <c r="L187" s="187"/>
      <c r="M187" s="187"/>
    </row>
    <row r="188" spans="1:13" s="70" customFormat="1" ht="15" customHeight="1" x14ac:dyDescent="0.3">
      <c r="A188" s="187" t="s">
        <v>790</v>
      </c>
      <c r="B188" s="170">
        <f>IF(Skötselplan!C$9&gt;0,Skötselplan!C$9+2,"")</f>
        <v>2019</v>
      </c>
      <c r="C188" s="229">
        <f>$B153*C185</f>
        <v>4.8396534727200011</v>
      </c>
      <c r="D188" s="229">
        <f>$B153*D185</f>
        <v>8.5745170548799994</v>
      </c>
      <c r="E188" s="229">
        <f>$B153*E185</f>
        <v>3.9464616096639999</v>
      </c>
      <c r="F188" s="225">
        <f t="shared" si="4"/>
        <v>17.360632137263998</v>
      </c>
      <c r="G188" s="226">
        <f t="shared" si="5"/>
        <v>0.39126959966788366</v>
      </c>
      <c r="J188" s="187"/>
      <c r="L188" s="187"/>
      <c r="M188" s="187"/>
    </row>
    <row r="189" spans="1:13" s="70" customFormat="1" ht="15" customHeight="1" x14ac:dyDescent="0.3">
      <c r="A189" s="187" t="s">
        <v>744</v>
      </c>
      <c r="B189" s="170">
        <f>IF(Skötselplan!C$9&gt;0,Skötselplan!C$9+2,"")</f>
        <v>2019</v>
      </c>
      <c r="C189" s="225">
        <f>C185+C186-C187-C188</f>
        <v>163.04144414591207</v>
      </c>
      <c r="D189" s="225">
        <f>D185+D186-D188</f>
        <v>253.14594863308798</v>
      </c>
      <c r="E189" s="225">
        <f>E186-E187-E188</f>
        <v>166.8850446157104</v>
      </c>
      <c r="F189" s="225">
        <f t="shared" si="4"/>
        <v>583.07243739471051</v>
      </c>
      <c r="G189" s="226">
        <f t="shared" si="5"/>
        <v>13.141141252979729</v>
      </c>
      <c r="H189" s="187"/>
      <c r="I189" s="187"/>
      <c r="J189" s="187"/>
      <c r="K189" s="187"/>
      <c r="L189" s="187"/>
      <c r="M189" s="187"/>
    </row>
    <row r="190" spans="1:13" s="70" customFormat="1" ht="15" customHeight="1" x14ac:dyDescent="0.3">
      <c r="A190" s="187" t="s">
        <v>745</v>
      </c>
      <c r="B190" s="170">
        <f>IF(Skötselplan!C$9&gt;0,Skötselplan!C$9+2,"")</f>
        <v>2019</v>
      </c>
      <c r="C190" s="230">
        <f>Skötselplan!D313</f>
        <v>31</v>
      </c>
      <c r="D190" s="230">
        <f>Skötselplan!D314</f>
        <v>31</v>
      </c>
      <c r="E190" s="230">
        <f>Skötselplan!D315</f>
        <v>62</v>
      </c>
      <c r="F190" s="225">
        <f t="shared" si="4"/>
        <v>124</v>
      </c>
      <c r="G190" s="226">
        <f t="shared" si="5"/>
        <v>2.7946810908271358</v>
      </c>
      <c r="H190" s="204">
        <f>IF((C190+D190)&gt;0,C190/(C190+D190),"")</f>
        <v>0.5</v>
      </c>
      <c r="I190" s="204">
        <f>IF(E190&gt;0,E190/F190,"")</f>
        <v>0.5</v>
      </c>
      <c r="J190" s="204"/>
      <c r="K190" s="204"/>
      <c r="L190" s="204"/>
      <c r="M190" s="209" t="str">
        <f>Skötselplan!A310</f>
        <v xml:space="preserve">4.1 Avskjutning för älgskötselområdet </v>
      </c>
    </row>
    <row r="191" spans="1:13" s="70" customFormat="1" ht="15" customHeight="1" x14ac:dyDescent="0.3">
      <c r="A191" s="187" t="s">
        <v>787</v>
      </c>
      <c r="B191" s="170">
        <f>IF(Skötselplan!C$9&gt;0,Skötselplan!C$9+3,"")</f>
        <v>2020</v>
      </c>
      <c r="C191" s="120">
        <f>IF(C190&gt;0,C192/$F192,"")</f>
        <v>0.28762659961739945</v>
      </c>
      <c r="D191" s="120">
        <f>IF(D190&gt;0,D192/$F192,"")</f>
        <v>0.4839017343184272</v>
      </c>
      <c r="E191" s="120">
        <f>IF(E190&gt;0,E192/$F192,"")</f>
        <v>0.22847166606417332</v>
      </c>
      <c r="F191" s="225"/>
      <c r="G191" s="226"/>
      <c r="J191" s="187"/>
      <c r="L191" s="187"/>
      <c r="M191" s="187"/>
    </row>
    <row r="192" spans="1:13" s="70" customFormat="1" ht="15" customHeight="1" x14ac:dyDescent="0.3">
      <c r="A192" s="187" t="s">
        <v>782</v>
      </c>
      <c r="B192" s="170">
        <f>IF(Skötselplan!C$9&gt;0,Skötselplan!C$9+3,"")</f>
        <v>2020</v>
      </c>
      <c r="C192" s="225">
        <f>C189-C190</f>
        <v>132.04144414591207</v>
      </c>
      <c r="D192" s="225">
        <f>D189-D190</f>
        <v>222.14594863308798</v>
      </c>
      <c r="E192" s="225">
        <f>E189-E190</f>
        <v>104.8850446157104</v>
      </c>
      <c r="F192" s="225">
        <f>SUM(C192:E192)</f>
        <v>459.07243739471045</v>
      </c>
      <c r="G192" s="227">
        <f>IF(F192&gt;0,F192/($B$163/1000),"")</f>
        <v>10.34646016215259</v>
      </c>
      <c r="H192" s="187"/>
      <c r="I192" s="187"/>
      <c r="J192" s="228">
        <f>IF(F192&gt;0,C192/(C192+D192),"")</f>
        <v>0.37280108450472454</v>
      </c>
      <c r="K192" s="187"/>
      <c r="L192" s="187"/>
      <c r="M192" s="187"/>
    </row>
    <row r="193" spans="1:13" s="70" customFormat="1" ht="15" customHeight="1" x14ac:dyDescent="0.3">
      <c r="A193" s="187" t="s">
        <v>788</v>
      </c>
      <c r="B193" s="170">
        <f>IF(Skötselplan!C$9&gt;0,Skötselplan!C$9+3,"")</f>
        <v>2020</v>
      </c>
      <c r="C193" s="229">
        <f>$B$165*$E192</f>
        <v>54.540223200169407</v>
      </c>
      <c r="D193" s="229">
        <f>(1-$B$165)*$E192</f>
        <v>50.344821415540991</v>
      </c>
      <c r="E193" s="229">
        <f>((D192+D193)*E$166)+(B$167*E194)</f>
        <v>234.51184446390317</v>
      </c>
      <c r="F193" s="225">
        <f>SUM(C193:E193)</f>
        <v>339.39688907961357</v>
      </c>
      <c r="G193" s="226">
        <f>IF(F193&gt;0,F193/($B$163/1000),"")</f>
        <v>7.6492424854544421</v>
      </c>
      <c r="J193" s="187"/>
      <c r="L193" s="187"/>
      <c r="M193" s="187"/>
    </row>
    <row r="194" spans="1:13" s="70" customFormat="1" ht="15" customHeight="1" x14ac:dyDescent="0.3">
      <c r="A194" s="187" t="s">
        <v>789</v>
      </c>
      <c r="B194" s="170">
        <f>IF(Skötselplan!C$9&gt;0,Skötselplan!C$9+3,"")</f>
        <v>2020</v>
      </c>
      <c r="C194" s="229">
        <f>IF(Skötselplan!$F$284="",0,Skötselplan!$D$284/2)</f>
        <v>4.4142401250000001</v>
      </c>
      <c r="D194" s="229">
        <f>IF(Skötselplan!$F$284="",0,Skötselplan!$D$284/2)</f>
        <v>4.4142401250000001</v>
      </c>
      <c r="E194" s="229">
        <f>IF(Skötselplan!$E$284="",0,Skötselplan!$E$284)</f>
        <v>55.064094750000002</v>
      </c>
      <c r="F194" s="225">
        <f>SUM(C194:E194)</f>
        <v>63.892575000000001</v>
      </c>
      <c r="G194" s="226">
        <f>IF(F194&gt;0,F194/($B$163/1000),"")</f>
        <v>1.4399949290060854</v>
      </c>
      <c r="J194" s="187"/>
      <c r="L194" s="187"/>
      <c r="M194" s="187"/>
    </row>
    <row r="195" spans="1:13" s="70" customFormat="1" ht="15" customHeight="1" x14ac:dyDescent="0.3">
      <c r="A195" s="187" t="s">
        <v>790</v>
      </c>
      <c r="B195" s="170">
        <f>IF(Skötselplan!C$9&gt;0,Skötselplan!C$9+3,"")</f>
        <v>2020</v>
      </c>
      <c r="C195" s="229">
        <f>$B154*C192</f>
        <v>5.2816577658364832</v>
      </c>
      <c r="D195" s="229">
        <f>$B154*D192</f>
        <v>8.8858379453235194</v>
      </c>
      <c r="E195" s="229">
        <f>$B154*E192</f>
        <v>4.195401784628416</v>
      </c>
      <c r="F195" s="225">
        <f>SUM(C195:E195)</f>
        <v>18.362897495788417</v>
      </c>
      <c r="G195" s="226">
        <f>IF(F195&gt;0,F195/($B$163/1000),"")</f>
        <v>0.41385840648610361</v>
      </c>
      <c r="L195" s="187"/>
      <c r="M195" s="187"/>
    </row>
    <row r="196" spans="1:13" s="70" customFormat="1" ht="15" customHeight="1" x14ac:dyDescent="0.3">
      <c r="A196" s="187" t="s">
        <v>744</v>
      </c>
      <c r="B196" s="170">
        <f>IF(Skötselplan!C$9&gt;0,Skötselplan!C$9+3,"")</f>
        <v>2020</v>
      </c>
      <c r="C196" s="225">
        <f>C192+C193-C194-C195</f>
        <v>176.885769455245</v>
      </c>
      <c r="D196" s="225">
        <f>D192+D193-D195</f>
        <v>263.60493210330543</v>
      </c>
      <c r="E196" s="225">
        <f>E193-E194-E195</f>
        <v>175.25234792927475</v>
      </c>
      <c r="F196" s="225">
        <f>SUM(C196:E196)</f>
        <v>615.74304948782515</v>
      </c>
      <c r="G196" s="226">
        <f>IF(F196&gt;0,F196/($B$163/1000),"")</f>
        <v>13.877463364611792</v>
      </c>
      <c r="H196" s="187"/>
      <c r="I196" s="187"/>
      <c r="J196" s="187"/>
      <c r="K196" s="187"/>
      <c r="L196" s="187"/>
      <c r="M196" s="187"/>
    </row>
    <row r="199" spans="1:13" x14ac:dyDescent="0.25">
      <c r="A199" s="231"/>
      <c r="B199" s="231"/>
      <c r="C199" s="231"/>
      <c r="D199" s="231"/>
      <c r="E199" s="231"/>
    </row>
    <row r="200" spans="1:13" x14ac:dyDescent="0.25">
      <c r="A200" s="232" t="s">
        <v>791</v>
      </c>
      <c r="B200" s="231"/>
      <c r="C200" s="231"/>
      <c r="D200" s="231"/>
      <c r="E200" s="231"/>
    </row>
    <row r="201" spans="1:13" x14ac:dyDescent="0.25">
      <c r="A201" s="232" t="s">
        <v>782</v>
      </c>
      <c r="B201" s="231" t="s">
        <v>75</v>
      </c>
      <c r="C201" s="231" t="s">
        <v>120</v>
      </c>
      <c r="D201" s="231" t="s">
        <v>79</v>
      </c>
      <c r="E201" s="231" t="s">
        <v>209</v>
      </c>
    </row>
    <row r="202" spans="1:13" x14ac:dyDescent="0.25">
      <c r="A202" s="231">
        <f>B171</f>
        <v>2017</v>
      </c>
      <c r="B202" s="233">
        <f>+C171</f>
        <v>103.8258</v>
      </c>
      <c r="C202" s="233">
        <f>+D171</f>
        <v>203.6583</v>
      </c>
      <c r="D202" s="233">
        <f>+E171</f>
        <v>91.8459</v>
      </c>
      <c r="E202" s="233">
        <f>SUM(B202:D202)</f>
        <v>399.33000000000004</v>
      </c>
    </row>
    <row r="203" spans="1:13" x14ac:dyDescent="0.25">
      <c r="A203" s="231">
        <f>B178</f>
        <v>2018</v>
      </c>
      <c r="B203" s="233">
        <f>+C178</f>
        <v>112.01839587500001</v>
      </c>
      <c r="C203" s="233">
        <f>+D178</f>
        <v>208.59799999999998</v>
      </c>
      <c r="D203" s="233">
        <f>+E178</f>
        <v>93.976763274999996</v>
      </c>
      <c r="E203" s="233">
        <f>SUM(B203:D203)</f>
        <v>414.59315914999996</v>
      </c>
    </row>
    <row r="204" spans="1:13" x14ac:dyDescent="0.25">
      <c r="A204" s="231">
        <f>B185</f>
        <v>2019</v>
      </c>
      <c r="B204" s="233">
        <f>+C185</f>
        <v>120.99133681800004</v>
      </c>
      <c r="C204" s="233">
        <f>+D185</f>
        <v>214.36292637199998</v>
      </c>
      <c r="D204" s="233">
        <f>+E185</f>
        <v>98.661540241599994</v>
      </c>
      <c r="E204" s="233">
        <f>SUM(B204:D204)</f>
        <v>434.01580343159998</v>
      </c>
    </row>
    <row r="205" spans="1:13" x14ac:dyDescent="0.25">
      <c r="A205" s="231">
        <f>B192</f>
        <v>2020</v>
      </c>
      <c r="B205" s="233">
        <f>+C192</f>
        <v>132.04144414591207</v>
      </c>
      <c r="C205" s="233">
        <f>+D192</f>
        <v>222.14594863308798</v>
      </c>
      <c r="D205" s="233">
        <f>+E192</f>
        <v>104.8850446157104</v>
      </c>
      <c r="E205" s="233">
        <f>SUM(B205:D205)</f>
        <v>459.07243739471045</v>
      </c>
    </row>
    <row r="206" spans="1:13" x14ac:dyDescent="0.25">
      <c r="A206" s="231"/>
      <c r="B206" s="231"/>
      <c r="C206" s="231"/>
      <c r="D206" s="231"/>
      <c r="E206" s="231"/>
    </row>
    <row r="207" spans="1:13" x14ac:dyDescent="0.25">
      <c r="A207" s="231" t="s">
        <v>301</v>
      </c>
      <c r="B207" s="233">
        <f>Skötselplan!B68</f>
        <v>114</v>
      </c>
      <c r="C207" s="233">
        <f>Skötselplan!B69</f>
        <v>165</v>
      </c>
      <c r="D207" s="233">
        <f>Skötselplan!B70</f>
        <v>69</v>
      </c>
      <c r="E207" s="233">
        <f>SUM(B207:D207)</f>
        <v>348</v>
      </c>
      <c r="M207" s="189" t="str">
        <f>Skötselplan!A60</f>
        <v xml:space="preserve">1.1 Mål för älgstammens utveckling inom älgskötselområdet </v>
      </c>
    </row>
    <row r="208" spans="1:13" x14ac:dyDescent="0.25">
      <c r="A208" s="231"/>
      <c r="B208" s="231"/>
      <c r="C208" s="231"/>
      <c r="D208" s="231"/>
      <c r="E208" s="231"/>
    </row>
    <row r="209" spans="1:5" x14ac:dyDescent="0.25">
      <c r="A209" s="231"/>
      <c r="B209" s="231"/>
      <c r="C209" s="231"/>
      <c r="D209" s="231"/>
      <c r="E209" s="231"/>
    </row>
    <row r="210" spans="1:5" x14ac:dyDescent="0.25">
      <c r="A210" s="231"/>
      <c r="B210" s="231"/>
      <c r="C210" s="231"/>
      <c r="D210" s="231"/>
      <c r="E210" s="231"/>
    </row>
  </sheetData>
  <sheetProtection password="DB3D" sheet="1" objects="1" scenarios="1"/>
  <mergeCells count="6">
    <mergeCell ref="A157:E157"/>
    <mergeCell ref="A1:D1"/>
    <mergeCell ref="A45:E45"/>
    <mergeCell ref="A78:E78"/>
    <mergeCell ref="A105:E105"/>
    <mergeCell ref="A142:E142"/>
  </mergeCells>
  <pageMargins left="0.25" right="0.25" top="0.75" bottom="0.75" header="0.3" footer="0.3"/>
  <pageSetup paperSize="9" scale="87" orientation="landscape" r:id="rId1"/>
  <headerFooter alignWithMargins="0">
    <oddHeader>&amp;C&amp;A</oddHeader>
    <oddFooter>&amp;L&amp;F</oddFooter>
  </headerFooter>
  <rowBreaks count="24" manualBreakCount="24">
    <brk id="24" max="10" man="1"/>
    <brk id="46" max="10" man="1"/>
    <brk id="80" max="10" man="1"/>
    <brk id="107" max="10" man="1"/>
    <brk id="142" max="10" man="1"/>
    <brk id="159" max="10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5"/>
  <sheetViews>
    <sheetView workbookViewId="0">
      <selection activeCell="D14" sqref="D14 D14"/>
    </sheetView>
  </sheetViews>
  <sheetFormatPr defaultRowHeight="14.4" x14ac:dyDescent="0.3"/>
  <sheetData>
    <row r="1" spans="1:14" x14ac:dyDescent="0.3">
      <c r="A1" s="70" t="s">
        <v>7</v>
      </c>
      <c r="B1" s="70" t="s">
        <v>792</v>
      </c>
      <c r="C1" s="70"/>
      <c r="D1" s="70"/>
      <c r="E1" s="70"/>
      <c r="F1" s="70"/>
      <c r="G1" s="70"/>
      <c r="H1" s="70"/>
    </row>
    <row r="2" spans="1:14" x14ac:dyDescent="0.3">
      <c r="A2" s="70"/>
      <c r="B2" s="70"/>
      <c r="C2" s="70"/>
      <c r="D2" s="70"/>
      <c r="E2" s="70"/>
      <c r="F2" s="70"/>
      <c r="G2" s="70"/>
      <c r="H2" s="70"/>
    </row>
    <row r="3" spans="1:14" x14ac:dyDescent="0.3">
      <c r="A3" s="70" t="s">
        <v>793</v>
      </c>
      <c r="B3" s="70">
        <v>2017</v>
      </c>
      <c r="C3" s="70"/>
      <c r="D3" s="70"/>
      <c r="E3" s="70"/>
      <c r="F3" s="70"/>
      <c r="G3" s="70"/>
      <c r="H3" s="70"/>
    </row>
    <row r="4" spans="1:14" x14ac:dyDescent="0.3">
      <c r="A4" s="70" t="s">
        <v>794</v>
      </c>
      <c r="B4" s="70">
        <v>2019</v>
      </c>
      <c r="C4" s="70"/>
      <c r="D4" s="70"/>
      <c r="E4" s="70"/>
      <c r="F4" s="70"/>
      <c r="G4" s="70"/>
      <c r="H4" s="70"/>
    </row>
    <row r="5" spans="1:14" x14ac:dyDescent="0.3">
      <c r="A5" s="70"/>
      <c r="B5" s="70"/>
      <c r="C5" s="70"/>
      <c r="D5" s="70"/>
      <c r="E5" s="70"/>
      <c r="F5" s="70"/>
      <c r="G5" s="70"/>
      <c r="H5" s="70"/>
    </row>
    <row r="6" spans="1:14" x14ac:dyDescent="0.3">
      <c r="A6" s="70" t="s">
        <v>795</v>
      </c>
      <c r="B6" s="70">
        <v>44370</v>
      </c>
      <c r="C6" s="70"/>
      <c r="D6" s="70"/>
      <c r="E6" s="70"/>
      <c r="F6" s="70"/>
      <c r="G6" s="70"/>
      <c r="H6" s="70"/>
    </row>
    <row r="7" spans="1:14" x14ac:dyDescent="0.3">
      <c r="A7" s="70"/>
      <c r="B7" s="70"/>
      <c r="C7" s="70"/>
      <c r="D7" s="70"/>
      <c r="E7" s="70"/>
      <c r="F7" s="70"/>
      <c r="G7" s="70"/>
      <c r="H7" s="70"/>
    </row>
    <row r="8" spans="1:14" x14ac:dyDescent="0.3">
      <c r="A8" s="70" t="s">
        <v>27</v>
      </c>
      <c r="B8" s="70" t="s">
        <v>796</v>
      </c>
      <c r="C8" s="70"/>
      <c r="D8" s="70"/>
      <c r="E8" s="70"/>
      <c r="F8" s="70"/>
      <c r="G8" s="70"/>
      <c r="H8" s="70"/>
    </row>
    <row r="9" spans="1:14" x14ac:dyDescent="0.3">
      <c r="A9" s="70" t="s">
        <v>797</v>
      </c>
      <c r="B9" s="70" t="s">
        <v>798</v>
      </c>
      <c r="C9" s="70"/>
      <c r="D9" s="70"/>
      <c r="E9" s="70"/>
      <c r="F9" s="70"/>
      <c r="G9" s="70"/>
      <c r="H9" s="70"/>
    </row>
    <row r="10" spans="1:14" x14ac:dyDescent="0.3">
      <c r="A10" s="70" t="s">
        <v>799</v>
      </c>
      <c r="B10" s="70" t="s">
        <v>800</v>
      </c>
      <c r="C10" s="70"/>
      <c r="D10" s="70"/>
      <c r="E10" s="70"/>
      <c r="F10" s="70"/>
      <c r="G10" s="70"/>
      <c r="H10" s="70"/>
    </row>
    <row r="11" spans="1:14" x14ac:dyDescent="0.3">
      <c r="A11" s="70" t="s">
        <v>801</v>
      </c>
      <c r="B11" s="70" t="s">
        <v>802</v>
      </c>
      <c r="C11" s="70"/>
      <c r="D11" s="70"/>
      <c r="E11" s="70"/>
      <c r="F11" s="70"/>
      <c r="G11" s="70"/>
      <c r="H11" s="70"/>
    </row>
    <row r="12" spans="1:14" x14ac:dyDescent="0.3">
      <c r="A12" s="70"/>
      <c r="B12" s="70"/>
      <c r="C12" s="70"/>
      <c r="D12" s="70"/>
      <c r="E12" s="70"/>
      <c r="F12" s="70"/>
      <c r="G12" s="70"/>
      <c r="H12" s="70"/>
    </row>
    <row r="13" spans="1:14" x14ac:dyDescent="0.3">
      <c r="A13" s="70"/>
      <c r="B13" s="70"/>
      <c r="C13" s="70"/>
      <c r="D13" s="70"/>
      <c r="E13" s="70"/>
      <c r="F13" s="70"/>
      <c r="G13" s="70"/>
      <c r="H13" s="70"/>
    </row>
    <row r="14" spans="1:14" x14ac:dyDescent="0.3">
      <c r="A14" s="70"/>
      <c r="B14" s="70"/>
      <c r="C14" s="70"/>
      <c r="D14" s="70"/>
      <c r="E14" s="70"/>
      <c r="F14" s="70"/>
      <c r="G14" s="70"/>
      <c r="H14" s="70"/>
      <c r="N14" s="70"/>
    </row>
    <row r="15" spans="1:14" x14ac:dyDescent="0.3">
      <c r="A15" s="70"/>
      <c r="B15" s="70"/>
      <c r="C15" s="70"/>
      <c r="D15" s="70"/>
      <c r="E15" s="70"/>
      <c r="F15" s="70"/>
      <c r="G15" s="70"/>
      <c r="H15" s="70"/>
    </row>
    <row r="16" spans="1:14" x14ac:dyDescent="0.3">
      <c r="A16" s="70" t="s">
        <v>803</v>
      </c>
      <c r="B16" s="70"/>
      <c r="C16" s="70"/>
      <c r="D16" s="70"/>
      <c r="E16" s="70"/>
      <c r="F16" s="70"/>
      <c r="G16" s="70"/>
      <c r="H16" s="70"/>
    </row>
    <row r="17" spans="1:8" x14ac:dyDescent="0.3">
      <c r="A17" s="70" t="s">
        <v>804</v>
      </c>
      <c r="B17" s="70">
        <v>2014</v>
      </c>
      <c r="C17" s="70">
        <v>2015</v>
      </c>
      <c r="D17" s="70">
        <v>2016</v>
      </c>
      <c r="E17" s="70"/>
      <c r="F17" s="70"/>
      <c r="G17" s="70"/>
      <c r="H17" s="70"/>
    </row>
    <row r="18" spans="1:8" x14ac:dyDescent="0.3">
      <c r="A18" s="70" t="s">
        <v>805</v>
      </c>
      <c r="B18" s="70">
        <v>32</v>
      </c>
      <c r="C18" s="70">
        <v>31</v>
      </c>
      <c r="D18" s="70">
        <v>31</v>
      </c>
      <c r="E18" s="70"/>
      <c r="F18" s="70"/>
      <c r="G18" s="70"/>
      <c r="H18" s="70"/>
    </row>
    <row r="19" spans="1:8" x14ac:dyDescent="0.3">
      <c r="A19" s="70" t="s">
        <v>806</v>
      </c>
      <c r="B19" s="70">
        <v>19</v>
      </c>
      <c r="C19" s="70">
        <v>30</v>
      </c>
      <c r="D19" s="70">
        <v>25</v>
      </c>
      <c r="E19" s="70"/>
      <c r="F19" s="70"/>
      <c r="G19" s="70"/>
      <c r="H19" s="70"/>
    </row>
    <row r="20" spans="1:8" x14ac:dyDescent="0.3">
      <c r="A20" s="70" t="s">
        <v>807</v>
      </c>
      <c r="B20" s="70">
        <v>59</v>
      </c>
      <c r="C20" s="70">
        <v>68</v>
      </c>
      <c r="D20" s="70">
        <v>57</v>
      </c>
      <c r="E20" s="70"/>
      <c r="F20" s="70"/>
      <c r="G20" s="70"/>
      <c r="H20" s="70"/>
    </row>
    <row r="21" spans="1:8" x14ac:dyDescent="0.3">
      <c r="A21" s="70" t="s">
        <v>757</v>
      </c>
      <c r="B21" s="70">
        <v>44381</v>
      </c>
      <c r="C21" s="70">
        <v>44381</v>
      </c>
      <c r="D21" s="70">
        <v>44370</v>
      </c>
      <c r="E21" s="70"/>
      <c r="F21" s="70"/>
      <c r="G21" s="70"/>
      <c r="H21" s="70"/>
    </row>
    <row r="22" spans="1:8" x14ac:dyDescent="0.3">
      <c r="A22" s="70"/>
      <c r="B22" s="70"/>
      <c r="C22" s="70"/>
      <c r="D22" s="70"/>
      <c r="E22" s="70"/>
      <c r="F22" s="70"/>
      <c r="G22" s="70"/>
      <c r="H22" s="70"/>
    </row>
    <row r="23" spans="1:8" x14ac:dyDescent="0.3">
      <c r="A23" s="70"/>
      <c r="B23" s="70"/>
      <c r="C23" s="70"/>
      <c r="D23" s="70"/>
      <c r="E23" s="70"/>
      <c r="F23" s="70"/>
      <c r="G23" s="70"/>
      <c r="H23" s="70"/>
    </row>
    <row r="24" spans="1:8" x14ac:dyDescent="0.3">
      <c r="A24" s="70"/>
      <c r="B24" s="70"/>
      <c r="C24" s="70"/>
      <c r="D24" s="70"/>
      <c r="E24" s="70"/>
      <c r="F24" s="70"/>
      <c r="G24" s="70"/>
      <c r="H24" s="70"/>
    </row>
    <row r="25" spans="1:8" x14ac:dyDescent="0.3">
      <c r="A25" s="70"/>
      <c r="B25" s="70"/>
      <c r="C25" s="70"/>
      <c r="D25" s="70"/>
      <c r="E25" s="70"/>
      <c r="F25" s="70"/>
      <c r="G25" s="70"/>
      <c r="H25" s="70"/>
    </row>
    <row r="26" spans="1:8" x14ac:dyDescent="0.3">
      <c r="A26" s="70" t="s">
        <v>217</v>
      </c>
      <c r="B26" s="70"/>
      <c r="C26" s="70"/>
      <c r="D26" s="70"/>
      <c r="E26" s="70"/>
      <c r="F26" s="70"/>
      <c r="G26" s="70"/>
      <c r="H26" s="70"/>
    </row>
    <row r="27" spans="1:8" x14ac:dyDescent="0.3">
      <c r="A27" s="70" t="s">
        <v>808</v>
      </c>
      <c r="B27" s="70">
        <v>2012</v>
      </c>
      <c r="C27" s="70">
        <v>2013</v>
      </c>
      <c r="D27" s="70">
        <v>2014</v>
      </c>
      <c r="E27" s="70">
        <v>2015</v>
      </c>
      <c r="F27" s="70">
        <v>2016</v>
      </c>
      <c r="G27" s="70"/>
      <c r="H27" s="70"/>
    </row>
    <row r="28" spans="1:8" x14ac:dyDescent="0.3">
      <c r="A28" s="70" t="s">
        <v>809</v>
      </c>
      <c r="B28" s="70">
        <v>10509</v>
      </c>
      <c r="C28" s="70">
        <v>10403</v>
      </c>
      <c r="D28" s="70">
        <v>9600</v>
      </c>
      <c r="E28" s="70">
        <v>9933</v>
      </c>
      <c r="F28" s="70">
        <v>9974</v>
      </c>
      <c r="G28" s="70"/>
      <c r="H28" s="70"/>
    </row>
    <row r="29" spans="1:8" x14ac:dyDescent="0.3">
      <c r="A29" s="70" t="s">
        <v>810</v>
      </c>
      <c r="B29" s="70">
        <v>8.6999999999999994E-2</v>
      </c>
      <c r="C29" s="70">
        <v>7.3999999999999996E-2</v>
      </c>
      <c r="D29" s="70">
        <v>8.6999999999999994E-2</v>
      </c>
      <c r="E29" s="70">
        <v>9.0999999999999998E-2</v>
      </c>
      <c r="F29" s="70">
        <v>9.5000000000000001E-2</v>
      </c>
      <c r="G29" s="70"/>
      <c r="H29" s="70"/>
    </row>
    <row r="30" spans="1:8" x14ac:dyDescent="0.3">
      <c r="A30" s="70" t="s">
        <v>811</v>
      </c>
      <c r="B30" s="70">
        <v>0.53500000000000003</v>
      </c>
      <c r="C30" s="70">
        <v>0.77</v>
      </c>
      <c r="D30" s="70">
        <v>0.57499999999999996</v>
      </c>
      <c r="E30" s="70">
        <v>0.63300000000000001</v>
      </c>
      <c r="F30" s="70">
        <v>0.68100000000000005</v>
      </c>
      <c r="G30" s="70"/>
      <c r="H30" s="70"/>
    </row>
    <row r="31" spans="1:8" x14ac:dyDescent="0.3">
      <c r="A31" s="70" t="s">
        <v>812</v>
      </c>
      <c r="B31" s="70">
        <v>0.35699999999999998</v>
      </c>
      <c r="C31" s="70">
        <v>0.33100000000000002</v>
      </c>
      <c r="D31" s="70">
        <v>0.30299999999999999</v>
      </c>
      <c r="E31" s="70">
        <v>0.36399999999999999</v>
      </c>
      <c r="F31" s="70">
        <v>0.374</v>
      </c>
      <c r="G31" s="70"/>
      <c r="H31" s="70"/>
    </row>
    <row r="32" spans="1:8" x14ac:dyDescent="0.3">
      <c r="A32" s="70"/>
      <c r="B32" s="70"/>
      <c r="C32" s="70"/>
      <c r="D32" s="70"/>
      <c r="E32" s="70"/>
      <c r="F32" s="70"/>
      <c r="G32" s="70"/>
      <c r="H32" s="70"/>
    </row>
    <row r="33" spans="1:8" x14ac:dyDescent="0.3">
      <c r="A33" s="70"/>
      <c r="B33" s="70"/>
      <c r="C33" s="70"/>
      <c r="D33" s="70"/>
      <c r="E33" s="70"/>
      <c r="F33" s="70"/>
      <c r="G33" s="70"/>
      <c r="H33" s="70"/>
    </row>
    <row r="34" spans="1:8" x14ac:dyDescent="0.3">
      <c r="A34" s="70"/>
      <c r="B34" s="70"/>
      <c r="C34" s="70"/>
      <c r="D34" s="70"/>
      <c r="E34" s="70"/>
      <c r="F34" s="70"/>
      <c r="G34" s="70"/>
      <c r="H34" s="70"/>
    </row>
    <row r="35" spans="1:8" x14ac:dyDescent="0.3">
      <c r="A35" s="70"/>
      <c r="B35" s="70"/>
      <c r="C35" s="70"/>
      <c r="D35" s="70"/>
      <c r="E35" s="70"/>
      <c r="F35" s="70"/>
      <c r="G35" s="70"/>
      <c r="H35" s="70"/>
    </row>
    <row r="36" spans="1:8" x14ac:dyDescent="0.3">
      <c r="A36" s="70" t="s">
        <v>344</v>
      </c>
      <c r="B36" s="70"/>
      <c r="C36" s="70"/>
      <c r="D36" s="70"/>
      <c r="E36" s="70"/>
      <c r="F36" s="70"/>
      <c r="G36" s="70"/>
      <c r="H36" s="70"/>
    </row>
    <row r="37" spans="1:8" x14ac:dyDescent="0.3">
      <c r="A37" s="70" t="s">
        <v>813</v>
      </c>
      <c r="B37" s="70">
        <v>2012</v>
      </c>
      <c r="C37" s="70">
        <v>2013</v>
      </c>
      <c r="D37" s="70">
        <v>2014</v>
      </c>
      <c r="E37" s="70">
        <v>2015</v>
      </c>
      <c r="F37" s="70">
        <v>2016</v>
      </c>
      <c r="G37" s="70"/>
      <c r="H37" s="70"/>
    </row>
    <row r="38" spans="1:8" x14ac:dyDescent="0.3">
      <c r="A38" s="70" t="s">
        <v>814</v>
      </c>
      <c r="B38" s="70">
        <v>0</v>
      </c>
      <c r="C38" s="70">
        <v>0</v>
      </c>
      <c r="D38" s="70">
        <v>0</v>
      </c>
      <c r="E38" s="70">
        <v>0</v>
      </c>
      <c r="F38" s="70">
        <v>0</v>
      </c>
      <c r="G38" s="70"/>
      <c r="H38" s="70"/>
    </row>
    <row r="39" spans="1:8" x14ac:dyDescent="0.3">
      <c r="A39" s="70" t="s">
        <v>815</v>
      </c>
      <c r="B39" s="70">
        <v>69</v>
      </c>
      <c r="C39" s="70">
        <v>67</v>
      </c>
      <c r="D39" s="70">
        <v>66</v>
      </c>
      <c r="E39" s="70">
        <v>71</v>
      </c>
      <c r="F39" s="70">
        <v>66</v>
      </c>
      <c r="G39" s="70"/>
      <c r="H39" s="70"/>
    </row>
    <row r="40" spans="1:8" x14ac:dyDescent="0.3">
      <c r="A40" s="70" t="s">
        <v>816</v>
      </c>
      <c r="B40" s="70">
        <v>68.7</v>
      </c>
      <c r="C40" s="70">
        <v>66.8</v>
      </c>
      <c r="D40" s="70">
        <v>66.400000000000006</v>
      </c>
      <c r="E40" s="70">
        <v>70.7</v>
      </c>
      <c r="F40" s="70">
        <v>66.3</v>
      </c>
      <c r="G40" s="70"/>
      <c r="H40" s="70"/>
    </row>
    <row r="41" spans="1:8" x14ac:dyDescent="0.3">
      <c r="A41" s="70"/>
      <c r="B41" s="70"/>
      <c r="C41" s="70"/>
      <c r="D41" s="70"/>
      <c r="E41" s="70"/>
      <c r="F41" s="70"/>
      <c r="G41" s="70"/>
      <c r="H41" s="70"/>
    </row>
    <row r="42" spans="1:8" x14ac:dyDescent="0.3">
      <c r="A42" s="70"/>
      <c r="B42" s="70"/>
      <c r="C42" s="70"/>
      <c r="D42" s="70"/>
      <c r="E42" s="70"/>
      <c r="F42" s="70"/>
      <c r="G42" s="70"/>
      <c r="H42" s="70"/>
    </row>
    <row r="43" spans="1:8" x14ac:dyDescent="0.3">
      <c r="A43" s="70"/>
      <c r="B43" s="70"/>
      <c r="C43" s="70"/>
      <c r="D43" s="70"/>
      <c r="E43" s="70"/>
      <c r="F43" s="70"/>
      <c r="G43" s="70"/>
      <c r="H43" s="70"/>
    </row>
    <row r="44" spans="1:8" x14ac:dyDescent="0.3">
      <c r="A44" s="70"/>
      <c r="B44" s="70"/>
      <c r="C44" s="70"/>
      <c r="D44" s="70"/>
      <c r="E44" s="70"/>
      <c r="F44" s="70"/>
      <c r="G44" s="70"/>
      <c r="H44" s="70"/>
    </row>
    <row r="45" spans="1:8" x14ac:dyDescent="0.3">
      <c r="A45" s="70"/>
      <c r="B45" s="70"/>
      <c r="C45" s="70"/>
      <c r="D45" s="70"/>
      <c r="E45" s="70"/>
      <c r="F45" s="70"/>
      <c r="G45" s="70"/>
      <c r="H45" s="70"/>
    </row>
    <row r="46" spans="1:8" x14ac:dyDescent="0.3">
      <c r="A46" s="70" t="s">
        <v>817</v>
      </c>
      <c r="B46" s="70"/>
      <c r="C46" s="70"/>
      <c r="D46" s="70"/>
      <c r="E46" s="70"/>
      <c r="F46" s="70"/>
      <c r="G46" s="70"/>
      <c r="H46" s="70"/>
    </row>
    <row r="47" spans="1:8" x14ac:dyDescent="0.3">
      <c r="A47" s="70" t="s">
        <v>818</v>
      </c>
      <c r="B47" s="70">
        <v>2012</v>
      </c>
      <c r="C47" s="70">
        <v>2013</v>
      </c>
      <c r="D47" s="70">
        <v>2014</v>
      </c>
      <c r="E47" s="70">
        <v>2015</v>
      </c>
      <c r="F47" s="70">
        <v>2016</v>
      </c>
      <c r="G47" s="70"/>
      <c r="H47" s="70"/>
    </row>
    <row r="48" spans="1:8" x14ac:dyDescent="0.3">
      <c r="A48" s="70" t="s">
        <v>819</v>
      </c>
      <c r="B48" s="70">
        <v>171</v>
      </c>
      <c r="C48" s="70">
        <v>152</v>
      </c>
      <c r="D48" s="70">
        <v>153</v>
      </c>
      <c r="E48" s="70">
        <v>155</v>
      </c>
      <c r="F48" s="70">
        <v>172</v>
      </c>
      <c r="G48" s="70"/>
      <c r="H48" s="70"/>
    </row>
    <row r="49" spans="1:8" x14ac:dyDescent="0.3">
      <c r="A49" s="70"/>
      <c r="B49" s="70"/>
      <c r="C49" s="70"/>
      <c r="D49" s="70"/>
      <c r="E49" s="70"/>
      <c r="F49" s="70"/>
      <c r="G49" s="70"/>
      <c r="H49" s="70"/>
    </row>
    <row r="50" spans="1:8" x14ac:dyDescent="0.3">
      <c r="A50" s="70"/>
      <c r="B50" s="70"/>
      <c r="C50" s="70"/>
      <c r="D50" s="70"/>
      <c r="E50" s="70"/>
      <c r="F50" s="70"/>
      <c r="G50" s="70"/>
      <c r="H50" s="70"/>
    </row>
    <row r="51" spans="1:8" x14ac:dyDescent="0.3">
      <c r="A51" s="70"/>
      <c r="B51" s="70"/>
      <c r="C51" s="70"/>
      <c r="D51" s="70"/>
      <c r="E51" s="70"/>
      <c r="F51" s="70"/>
      <c r="G51" s="70"/>
      <c r="H51" s="70"/>
    </row>
    <row r="52" spans="1:8" x14ac:dyDescent="0.3">
      <c r="A52" s="70"/>
      <c r="B52" s="70"/>
      <c r="C52" s="70"/>
      <c r="D52" s="70"/>
      <c r="E52" s="70"/>
      <c r="F52" s="70"/>
      <c r="G52" s="70"/>
      <c r="H52" s="70"/>
    </row>
    <row r="53" spans="1:8" x14ac:dyDescent="0.3">
      <c r="A53" s="70"/>
      <c r="B53" s="70"/>
      <c r="C53" s="70"/>
      <c r="D53" s="70"/>
      <c r="E53" s="70"/>
      <c r="F53" s="70"/>
      <c r="G53" s="70"/>
      <c r="H53" s="70"/>
    </row>
    <row r="54" spans="1:8" x14ac:dyDescent="0.3">
      <c r="A54" s="70"/>
      <c r="B54" s="70"/>
      <c r="C54" s="70"/>
      <c r="D54" s="70"/>
      <c r="E54" s="70"/>
      <c r="F54" s="70"/>
      <c r="G54" s="70"/>
      <c r="H54" s="70"/>
    </row>
    <row r="55" spans="1:8" x14ac:dyDescent="0.3">
      <c r="A55" s="70"/>
      <c r="B55" s="70"/>
      <c r="C55" s="70"/>
      <c r="D55" s="70"/>
      <c r="E55" s="70"/>
      <c r="F55" s="70"/>
      <c r="G55" s="70"/>
      <c r="H55" s="70"/>
    </row>
    <row r="56" spans="1:8" x14ac:dyDescent="0.3">
      <c r="A56" s="70" t="s">
        <v>820</v>
      </c>
      <c r="B56" s="70"/>
      <c r="C56" s="70"/>
      <c r="D56" s="70"/>
      <c r="E56" s="70"/>
      <c r="F56" s="70"/>
      <c r="G56" s="70"/>
      <c r="H56" s="70"/>
    </row>
    <row r="57" spans="1:8" x14ac:dyDescent="0.3">
      <c r="A57" s="70" t="s">
        <v>821</v>
      </c>
      <c r="B57" s="70">
        <v>2012</v>
      </c>
      <c r="C57" s="70">
        <v>2013</v>
      </c>
      <c r="D57" s="70">
        <v>2014</v>
      </c>
      <c r="E57" s="70">
        <v>2015</v>
      </c>
      <c r="F57" s="70">
        <v>2016</v>
      </c>
      <c r="G57" s="70"/>
      <c r="H57" s="70"/>
    </row>
    <row r="58" spans="1:8" x14ac:dyDescent="0.3">
      <c r="A58" s="70" t="s">
        <v>822</v>
      </c>
      <c r="B58" s="70">
        <v>186</v>
      </c>
      <c r="C58" s="70">
        <v>171</v>
      </c>
      <c r="D58" s="70">
        <v>176</v>
      </c>
      <c r="E58" s="70">
        <v>186</v>
      </c>
      <c r="F58" s="70">
        <v>176</v>
      </c>
      <c r="G58" s="70"/>
      <c r="H58" s="70"/>
    </row>
    <row r="59" spans="1:8" x14ac:dyDescent="0.3">
      <c r="A59" s="70"/>
      <c r="B59" s="70"/>
      <c r="C59" s="70"/>
      <c r="D59" s="70"/>
      <c r="E59" s="70"/>
      <c r="F59" s="70"/>
      <c r="G59" s="70"/>
      <c r="H59" s="70"/>
    </row>
    <row r="60" spans="1:8" x14ac:dyDescent="0.3">
      <c r="A60" s="70"/>
      <c r="B60" s="70"/>
      <c r="C60" s="70"/>
      <c r="D60" s="70"/>
      <c r="E60" s="70"/>
      <c r="F60" s="70"/>
      <c r="G60" s="70"/>
      <c r="H60" s="70"/>
    </row>
    <row r="61" spans="1:8" x14ac:dyDescent="0.3">
      <c r="A61" s="70"/>
      <c r="B61" s="70"/>
      <c r="C61" s="70"/>
      <c r="D61" s="70"/>
      <c r="E61" s="70"/>
      <c r="F61" s="70"/>
      <c r="G61" s="70"/>
      <c r="H61" s="70"/>
    </row>
    <row r="62" spans="1:8" x14ac:dyDescent="0.3">
      <c r="A62" s="70"/>
      <c r="B62" s="70"/>
      <c r="C62" s="70"/>
      <c r="D62" s="70"/>
      <c r="E62" s="70"/>
      <c r="F62" s="70"/>
      <c r="G62" s="70"/>
      <c r="H62" s="70"/>
    </row>
    <row r="63" spans="1:8" x14ac:dyDescent="0.3">
      <c r="A63" s="70"/>
      <c r="B63" s="70"/>
      <c r="C63" s="70"/>
      <c r="D63" s="70"/>
      <c r="E63" s="70"/>
      <c r="F63" s="70"/>
      <c r="G63" s="70"/>
      <c r="H63" s="70"/>
    </row>
    <row r="64" spans="1:8" x14ac:dyDescent="0.3">
      <c r="A64" s="70"/>
      <c r="B64" s="70"/>
      <c r="C64" s="70"/>
      <c r="D64" s="70"/>
      <c r="E64" s="70"/>
      <c r="F64" s="70"/>
      <c r="G64" s="70"/>
      <c r="H64" s="70"/>
    </row>
    <row r="65" spans="1:8" x14ac:dyDescent="0.3">
      <c r="A65" s="70"/>
      <c r="B65" s="70"/>
      <c r="C65" s="70"/>
      <c r="D65" s="70"/>
      <c r="E65" s="70"/>
      <c r="F65" s="70"/>
      <c r="G65" s="70"/>
      <c r="H65" s="70"/>
    </row>
    <row r="66" spans="1:8" x14ac:dyDescent="0.3">
      <c r="A66" s="70" t="s">
        <v>823</v>
      </c>
      <c r="B66" s="70"/>
      <c r="C66" s="70"/>
      <c r="D66" s="70"/>
      <c r="E66" s="70"/>
      <c r="F66" s="70"/>
      <c r="G66" s="70"/>
      <c r="H66" s="70"/>
    </row>
    <row r="67" spans="1:8" x14ac:dyDescent="0.3">
      <c r="A67" s="70" t="s">
        <v>824</v>
      </c>
      <c r="B67" s="70">
        <v>2012</v>
      </c>
      <c r="C67" s="70">
        <v>2013</v>
      </c>
      <c r="D67" s="70">
        <v>2014</v>
      </c>
      <c r="E67" s="70">
        <v>2015</v>
      </c>
      <c r="F67" s="70">
        <v>2016</v>
      </c>
      <c r="G67" s="70"/>
      <c r="H67" s="70"/>
    </row>
    <row r="68" spans="1:8" x14ac:dyDescent="0.3">
      <c r="A68" s="70" t="s">
        <v>181</v>
      </c>
      <c r="B68" s="70">
        <v>4</v>
      </c>
      <c r="C68" s="70">
        <v>3</v>
      </c>
      <c r="D68" s="70">
        <v>2</v>
      </c>
      <c r="E68" s="70">
        <v>3</v>
      </c>
      <c r="F68" s="70">
        <v>6</v>
      </c>
      <c r="G68" s="70"/>
      <c r="H68" s="70"/>
    </row>
    <row r="69" spans="1:8" x14ac:dyDescent="0.3">
      <c r="A69" s="70" t="s">
        <v>183</v>
      </c>
      <c r="B69" s="70">
        <v>3</v>
      </c>
      <c r="C69" s="70">
        <v>2</v>
      </c>
      <c r="D69" s="70">
        <v>3</v>
      </c>
      <c r="E69" s="70">
        <v>3</v>
      </c>
      <c r="F69" s="70">
        <v>2</v>
      </c>
      <c r="G69" s="70"/>
      <c r="H69" s="70"/>
    </row>
    <row r="70" spans="1:8" x14ac:dyDescent="0.3">
      <c r="A70" s="70"/>
      <c r="B70" s="70"/>
      <c r="C70" s="70"/>
      <c r="D70" s="70"/>
      <c r="E70" s="70"/>
      <c r="F70" s="70"/>
      <c r="G70" s="70"/>
      <c r="H70" s="70"/>
    </row>
    <row r="71" spans="1:8" x14ac:dyDescent="0.3">
      <c r="A71" s="70"/>
      <c r="B71" s="70"/>
      <c r="C71" s="70"/>
      <c r="D71" s="70"/>
      <c r="E71" s="70"/>
      <c r="F71" s="70"/>
      <c r="G71" s="70"/>
      <c r="H71" s="70"/>
    </row>
    <row r="72" spans="1:8" x14ac:dyDescent="0.3">
      <c r="A72" s="70"/>
      <c r="B72" s="70"/>
      <c r="C72" s="70"/>
      <c r="D72" s="70"/>
      <c r="E72" s="70"/>
      <c r="F72" s="70"/>
      <c r="G72" s="70"/>
      <c r="H72" s="70"/>
    </row>
    <row r="73" spans="1:8" x14ac:dyDescent="0.3">
      <c r="A73" s="70"/>
      <c r="B73" s="70"/>
      <c r="C73" s="70"/>
      <c r="D73" s="70"/>
      <c r="E73" s="70"/>
      <c r="F73" s="70"/>
      <c r="G73" s="70"/>
      <c r="H73" s="70"/>
    </row>
    <row r="74" spans="1:8" x14ac:dyDescent="0.3">
      <c r="A74" s="70"/>
      <c r="B74" s="70"/>
      <c r="C74" s="70"/>
      <c r="D74" s="70"/>
      <c r="E74" s="70"/>
      <c r="F74" s="70"/>
      <c r="G74" s="70"/>
      <c r="H74" s="70"/>
    </row>
    <row r="75" spans="1:8" x14ac:dyDescent="0.3">
      <c r="A75" s="70"/>
      <c r="B75" s="70"/>
      <c r="C75" s="70"/>
      <c r="D75" s="70"/>
      <c r="E75" s="70"/>
      <c r="F75" s="70"/>
      <c r="G75" s="70"/>
      <c r="H75" s="70"/>
    </row>
    <row r="76" spans="1:8" x14ac:dyDescent="0.3">
      <c r="A76" s="70" t="s">
        <v>772</v>
      </c>
      <c r="B76" s="70"/>
      <c r="C76" s="70"/>
      <c r="D76" s="70"/>
      <c r="E76" s="70"/>
      <c r="F76" s="70"/>
      <c r="G76" s="70"/>
      <c r="H76" s="70"/>
    </row>
    <row r="77" spans="1:8" x14ac:dyDescent="0.3">
      <c r="A77" s="70" t="s">
        <v>825</v>
      </c>
      <c r="B77" s="70" t="s">
        <v>826</v>
      </c>
      <c r="C77" s="70" t="s">
        <v>827</v>
      </c>
      <c r="D77" s="70" t="s">
        <v>828</v>
      </c>
      <c r="E77" s="70" t="s">
        <v>829</v>
      </c>
      <c r="F77" s="70" t="s">
        <v>830</v>
      </c>
      <c r="G77" s="70"/>
      <c r="H77" s="70"/>
    </row>
    <row r="78" spans="1:8" x14ac:dyDescent="0.3">
      <c r="A78" s="70" t="s">
        <v>831</v>
      </c>
      <c r="B78" s="70">
        <v>0</v>
      </c>
      <c r="C78" s="70">
        <v>0</v>
      </c>
      <c r="D78" s="70">
        <v>0</v>
      </c>
      <c r="E78" s="70">
        <v>0</v>
      </c>
      <c r="F78" s="70">
        <v>0</v>
      </c>
      <c r="G78" s="70"/>
      <c r="H78" s="70"/>
    </row>
    <row r="79" spans="1:8" x14ac:dyDescent="0.3">
      <c r="A79" s="70"/>
      <c r="B79" s="70"/>
      <c r="C79" s="70"/>
      <c r="D79" s="70"/>
      <c r="E79" s="70"/>
      <c r="F79" s="70"/>
      <c r="G79" s="70"/>
      <c r="H79" s="70"/>
    </row>
    <row r="80" spans="1:8" x14ac:dyDescent="0.3">
      <c r="A80" s="70"/>
      <c r="B80" s="70"/>
      <c r="C80" s="70"/>
      <c r="D80" s="70"/>
      <c r="E80" s="70"/>
      <c r="F80" s="70"/>
      <c r="G80" s="70"/>
      <c r="H80" s="70"/>
    </row>
    <row r="81" spans="1:8" x14ac:dyDescent="0.3">
      <c r="A81" s="70"/>
      <c r="B81" s="70"/>
      <c r="C81" s="70"/>
      <c r="D81" s="70"/>
      <c r="E81" s="70"/>
      <c r="F81" s="70"/>
      <c r="G81" s="70"/>
      <c r="H81" s="70"/>
    </row>
    <row r="82" spans="1:8" x14ac:dyDescent="0.3">
      <c r="A82" s="70"/>
      <c r="B82" s="70"/>
      <c r="C82" s="70"/>
      <c r="D82" s="70"/>
      <c r="E82" s="70"/>
      <c r="F82" s="70"/>
      <c r="G82" s="70"/>
      <c r="H82" s="70"/>
    </row>
    <row r="83" spans="1:8" x14ac:dyDescent="0.3">
      <c r="A83" s="70"/>
      <c r="B83" s="70"/>
      <c r="C83" s="70"/>
      <c r="D83" s="70"/>
      <c r="E83" s="70"/>
      <c r="F83" s="70"/>
      <c r="G83" s="70"/>
      <c r="H83" s="70"/>
    </row>
    <row r="84" spans="1:8" x14ac:dyDescent="0.3">
      <c r="A84" s="70"/>
      <c r="B84" s="70"/>
      <c r="C84" s="70"/>
      <c r="D84" s="70"/>
      <c r="E84" s="70"/>
      <c r="F84" s="70"/>
      <c r="G84" s="70"/>
      <c r="H84" s="70"/>
    </row>
    <row r="85" spans="1:8" x14ac:dyDescent="0.3">
      <c r="A85" s="70"/>
      <c r="B85" s="70"/>
      <c r="C85" s="70"/>
      <c r="D85" s="70"/>
      <c r="E85" s="70"/>
      <c r="F85" s="70"/>
      <c r="G85" s="70"/>
      <c r="H85" s="70"/>
    </row>
    <row r="86" spans="1:8" x14ac:dyDescent="0.3">
      <c r="A86" s="70" t="s">
        <v>832</v>
      </c>
      <c r="B86" s="70"/>
      <c r="C86" s="70"/>
      <c r="D86" s="70"/>
      <c r="E86" s="70"/>
      <c r="F86" s="70"/>
      <c r="G86" s="70"/>
      <c r="H86" s="70"/>
    </row>
    <row r="87" spans="1:8" x14ac:dyDescent="0.3">
      <c r="A87" s="70" t="s">
        <v>833</v>
      </c>
      <c r="B87" s="70">
        <v>2010</v>
      </c>
      <c r="C87" s="70">
        <v>2011</v>
      </c>
      <c r="D87" s="70">
        <v>2012</v>
      </c>
      <c r="E87" s="70">
        <v>2013</v>
      </c>
      <c r="F87" s="70">
        <v>2014</v>
      </c>
      <c r="G87" s="70">
        <v>2015</v>
      </c>
      <c r="H87" s="70">
        <v>2016</v>
      </c>
    </row>
    <row r="88" spans="1:8" x14ac:dyDescent="0.3">
      <c r="A88" s="70" t="s">
        <v>230</v>
      </c>
      <c r="B88" s="70"/>
      <c r="C88" s="70"/>
      <c r="D88" s="70"/>
      <c r="E88" s="70"/>
      <c r="F88" s="70"/>
      <c r="G88" s="70"/>
      <c r="H88" s="70"/>
    </row>
    <row r="89" spans="1:8" x14ac:dyDescent="0.3">
      <c r="A89" s="70"/>
      <c r="B89" s="70"/>
      <c r="C89" s="70"/>
      <c r="D89" s="70"/>
      <c r="E89" s="70"/>
      <c r="F89" s="70"/>
      <c r="G89" s="70"/>
      <c r="H89" s="70"/>
    </row>
    <row r="90" spans="1:8" x14ac:dyDescent="0.3">
      <c r="A90" s="70"/>
      <c r="B90" s="70"/>
      <c r="C90" s="70"/>
      <c r="D90" s="70"/>
      <c r="E90" s="70"/>
      <c r="F90" s="70"/>
      <c r="G90" s="70"/>
      <c r="H90" s="70"/>
    </row>
    <row r="91" spans="1:8" x14ac:dyDescent="0.3">
      <c r="A91" s="70"/>
      <c r="B91" s="70"/>
      <c r="C91" s="70"/>
      <c r="D91" s="70"/>
      <c r="E91" s="70"/>
      <c r="F91" s="70"/>
      <c r="G91" s="70"/>
      <c r="H91" s="70"/>
    </row>
    <row r="92" spans="1:8" x14ac:dyDescent="0.3">
      <c r="A92" s="70"/>
      <c r="B92" s="70"/>
      <c r="C92" s="70"/>
      <c r="D92" s="70"/>
      <c r="E92" s="70"/>
      <c r="F92" s="70"/>
      <c r="G92" s="70"/>
      <c r="H92" s="70"/>
    </row>
    <row r="93" spans="1:8" x14ac:dyDescent="0.3">
      <c r="A93" s="70"/>
      <c r="B93" s="70"/>
      <c r="C93" s="70"/>
      <c r="D93" s="70"/>
      <c r="E93" s="70"/>
      <c r="F93" s="70"/>
      <c r="G93" s="70"/>
      <c r="H93" s="70"/>
    </row>
    <row r="94" spans="1:8" x14ac:dyDescent="0.3">
      <c r="A94" s="70"/>
      <c r="B94" s="70"/>
      <c r="C94" s="70"/>
      <c r="D94" s="70"/>
      <c r="E94" s="70"/>
      <c r="F94" s="70"/>
      <c r="G94" s="70"/>
      <c r="H94" s="70"/>
    </row>
    <row r="95" spans="1:8" x14ac:dyDescent="0.3">
      <c r="A95" s="70"/>
      <c r="B95" s="70"/>
      <c r="C95" s="70"/>
      <c r="D95" s="70"/>
      <c r="E95" s="70"/>
      <c r="F95" s="70"/>
      <c r="G95" s="70"/>
      <c r="H95" s="70"/>
    </row>
  </sheetData>
  <sheetProtection password="DB3D" sheet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5"/>
  <dimension ref="H36:V45"/>
  <sheetViews>
    <sheetView topLeftCell="A7" workbookViewId="0">
      <selection activeCell="H45" sqref="H45 H45"/>
    </sheetView>
  </sheetViews>
  <sheetFormatPr defaultRowHeight="14.4" x14ac:dyDescent="0.3"/>
  <sheetData>
    <row r="36" spans="8:22" x14ac:dyDescent="0.3">
      <c r="V36" s="70"/>
    </row>
    <row r="45" spans="8:22" x14ac:dyDescent="0.3">
      <c r="H45" s="70"/>
    </row>
  </sheetData>
  <sheetProtection password="DB3D" sheet="1" objects="1" scenarios="1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6"/>
  <dimension ref="H30:K38"/>
  <sheetViews>
    <sheetView workbookViewId="0">
      <selection activeCell="K30" sqref="K30 K30"/>
    </sheetView>
  </sheetViews>
  <sheetFormatPr defaultRowHeight="14.4" x14ac:dyDescent="0.3"/>
  <sheetData>
    <row r="30" spans="11:11" x14ac:dyDescent="0.3">
      <c r="K30" s="70"/>
    </row>
    <row r="38" spans="8:8" x14ac:dyDescent="0.3">
      <c r="H38" s="70"/>
    </row>
  </sheetData>
  <sheetProtection password="DB3D" sheet="1" objects="1" scenarios="1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7"/>
  <dimension ref="H26:K29"/>
  <sheetViews>
    <sheetView workbookViewId="0">
      <selection activeCell="H26" sqref="H26 H26"/>
    </sheetView>
  </sheetViews>
  <sheetFormatPr defaultRowHeight="14.4" x14ac:dyDescent="0.3"/>
  <sheetData>
    <row r="26" spans="8:11" x14ac:dyDescent="0.3">
      <c r="H26" s="70"/>
    </row>
    <row r="29" spans="8:11" x14ac:dyDescent="0.3">
      <c r="K29" s="70"/>
    </row>
  </sheetData>
  <sheetProtection password="DB3D" sheet="1" objects="1" scenarios="1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V_x00e4_lj_x0020_visningsplats xmlns="1a975797-f638-4fd7-8eb3-752ed44b8d33">Minnesanteckningar</V_x00e4_lj_x0020_visningsplat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B2658E18A98746A55FF3C2FB6CECB6" ma:contentTypeVersion="3" ma:contentTypeDescription="Skapa ett nytt dokument." ma:contentTypeScope="" ma:versionID="2b1460dd600aff9c3f6f527b44001779">
  <xsd:schema xmlns:xsd="http://www.w3.org/2001/XMLSchema" xmlns:xs="http://www.w3.org/2001/XMLSchema" xmlns:p="http://schemas.microsoft.com/office/2006/metadata/properties" xmlns:ns2="1a975797-f638-4fd7-8eb3-752ed44b8d33" targetNamespace="http://schemas.microsoft.com/office/2006/metadata/properties" ma:root="true" ma:fieldsID="b80bff14323f9809acc034d814e1a2be" ns2:_="">
    <xsd:import namespace="1a975797-f638-4fd7-8eb3-752ed44b8d33"/>
    <xsd:element name="properties">
      <xsd:complexType>
        <xsd:sequence>
          <xsd:element name="documentManagement">
            <xsd:complexType>
              <xsd:all>
                <xsd:element ref="ns2:V_x00e4_lj_x0020_visningspla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975797-f638-4fd7-8eb3-752ed44b8d33" elementFormDefault="qualified">
    <xsd:import namespace="http://schemas.microsoft.com/office/2006/documentManagement/types"/>
    <xsd:import namespace="http://schemas.microsoft.com/office/infopath/2007/PartnerControls"/>
    <xsd:element name="V_x00e4_lj_x0020_visningsplats" ma:index="8" nillable="true" ma:displayName="Välj visningsplats" ma:default="Minnesanteckningar" ma:format="RadioButtons" ma:internalName="V_x00e4_lj_x0020_visningsplats">
      <xsd:simpleType>
        <xsd:restriction base="dms:Choice">
          <xsd:enumeration value="Minnesanteckningar"/>
          <xsd:enumeration value="Övergripande information"/>
          <xsd:enumeration value="Projektdokument"/>
          <xsd:enumeration value="Kravspecifikatione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 ma:readOnly="true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A8AC26-2424-4CAA-B331-92B53B323556}">
  <ds:schemaRefs>
    <ds:schemaRef ds:uri="http://schemas.microsoft.com/office/2006/documentManagement/types"/>
    <ds:schemaRef ds:uri="1a975797-f638-4fd7-8eb3-752ed44b8d33"/>
    <ds:schemaRef ds:uri="http://purl.org/dc/elements/1.1/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881BE9A-EF5C-4F99-BAF2-F336BB9A23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F85DF0-DB81-4BD5-856C-37D6567C19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975797-f638-4fd7-8eb3-752ed44b8d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5</vt:i4>
      </vt:variant>
    </vt:vector>
  </HeadingPairs>
  <TitlesOfParts>
    <vt:vector size="18" baseType="lpstr">
      <vt:lpstr>Förutsättningar</vt:lpstr>
      <vt:lpstr>NFS 2011-7</vt:lpstr>
      <vt:lpstr>Skötselplan</vt:lpstr>
      <vt:lpstr>Utdata</vt:lpstr>
      <vt:lpstr>Beräkning avskjutning</vt:lpstr>
      <vt:lpstr>SourceData</vt:lpstr>
      <vt:lpstr>2.1.1 Avskjutning</vt:lpstr>
      <vt:lpstr>2.1.2 Älgobs</vt:lpstr>
      <vt:lpstr>2.1.3 Spillningsinventering</vt:lpstr>
      <vt:lpstr>2.1.4 Kalvvikter</vt:lpstr>
      <vt:lpstr>2.2.1 Äbin</vt:lpstr>
      <vt:lpstr>Sammanst spillinv ÄFO</vt:lpstr>
      <vt:lpstr>Faktorer</vt:lpstr>
      <vt:lpstr>Inventeringsobjekt</vt:lpstr>
      <vt:lpstr>Skogstillstånd</vt:lpstr>
      <vt:lpstr>'Beräkning avskjutning'!Utskriftsområde</vt:lpstr>
      <vt:lpstr>Skötselplan!Utskriftsområde</vt:lpstr>
      <vt:lpstr>Välj</vt:lpstr>
    </vt:vector>
  </TitlesOfParts>
  <Company>Stora Enso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Älgförvaltningsplan mall</dc:title>
  <dc:creator>Johan Frisk</dc:creator>
  <cp:lastModifiedBy>Jan Henriksson</cp:lastModifiedBy>
  <cp:lastPrinted>2014-04-04T11:23:18Z</cp:lastPrinted>
  <dcterms:created xsi:type="dcterms:W3CDTF">2012-03-06T22:57:43Z</dcterms:created>
  <dcterms:modified xsi:type="dcterms:W3CDTF">2017-11-08T07:21:38Z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0x010100CAB2658E18A98746A55FF3C2FB6CECB6</vt:lpwstr>
  </property>
  <property fmtid="{D5CDD505-2E9C-101B-9397-08002B2CF9AE}" pid="3" name="Responsible">
    <vt:lpwstr/>
  </property>
</Properties>
</file>